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tabRatio="273" activeTab="1"/>
  </bookViews>
  <sheets>
    <sheet name="INSTRUCCIONES" sheetId="1" r:id="rId1"/>
    <sheet name="Hoja de cálculo" sheetId="2" r:id="rId2"/>
  </sheets>
  <definedNames>
    <definedName name="mw">'Hoja de cálculo'!$N$11</definedName>
    <definedName name="P_1">'Hoja de cálculo'!$G$14</definedName>
    <definedName name="_xlnm.Print_Area" localSheetId="1">'Hoja de cálculo'!$A$2:$P$59</definedName>
    <definedName name="s_1">'Hoja de cálculo'!$Q$14</definedName>
    <definedName name="s_2">'Hoja de cálculo'!$Q$15</definedName>
    <definedName name="T">'Hoja de cálculo'!$G$13</definedName>
  </definedNames>
  <calcPr fullCalcOnLoad="1"/>
</workbook>
</file>

<file path=xl/sharedStrings.xml><?xml version="1.0" encoding="utf-8"?>
<sst xmlns="http://schemas.openxmlformats.org/spreadsheetml/2006/main" count="399" uniqueCount="242">
  <si>
    <t>Reducción de presión muy elevada. Ir a X9</t>
  </si>
  <si>
    <t>Codigo</t>
  </si>
  <si>
    <t>Diam.O.D.</t>
  </si>
  <si>
    <t>Espesor/sch</t>
  </si>
  <si>
    <t>S. cm2</t>
  </si>
  <si>
    <t>L/mtro.</t>
  </si>
  <si>
    <t>Lamda</t>
  </si>
  <si>
    <t>Corriente nº</t>
  </si>
  <si>
    <t>Fluido</t>
  </si>
  <si>
    <t>MW =</t>
  </si>
  <si>
    <t>1/8"</t>
  </si>
  <si>
    <t>0.028"</t>
  </si>
  <si>
    <t>L = Liquido</t>
  </si>
  <si>
    <t>Fase</t>
  </si>
  <si>
    <t>Pres.</t>
  </si>
  <si>
    <t xml:space="preserve">T </t>
  </si>
  <si>
    <t>D. liq.</t>
  </si>
  <si>
    <t>D gas</t>
  </si>
  <si>
    <t xml:space="preserve">Coef. </t>
  </si>
  <si>
    <t xml:space="preserve">   Viscosidad</t>
  </si>
  <si>
    <t>Presión</t>
  </si>
  <si>
    <t>Cálculos de la densidad</t>
  </si>
  <si>
    <t>Cálculo de Reducción de presión</t>
  </si>
  <si>
    <t>0.035"</t>
  </si>
  <si>
    <t>G = Gas</t>
  </si>
  <si>
    <t>Barg</t>
  </si>
  <si>
    <t>ºC</t>
  </si>
  <si>
    <t>Kg/dm3</t>
  </si>
  <si>
    <t>Kg/m3</t>
  </si>
  <si>
    <t>Z</t>
  </si>
  <si>
    <t>cP</t>
  </si>
  <si>
    <t>cSt</t>
  </si>
  <si>
    <t>Densid. gas</t>
  </si>
  <si>
    <t>1/4"</t>
  </si>
  <si>
    <t>En proceso</t>
  </si>
  <si>
    <t>Pp</t>
  </si>
  <si>
    <t>Kg/cm2</t>
  </si>
  <si>
    <t>Caudal 1º antes de reducción: l/min</t>
  </si>
  <si>
    <t>cc/min</t>
  </si>
  <si>
    <t>Línea de transporte</t>
  </si>
  <si>
    <t>P1</t>
  </si>
  <si>
    <t>Linea. cod</t>
  </si>
  <si>
    <t>0.049"</t>
  </si>
  <si>
    <t>SAM, al analizador</t>
  </si>
  <si>
    <t>Pe</t>
  </si>
  <si>
    <t>Long m</t>
  </si>
  <si>
    <t>Vol lin.</t>
  </si>
  <si>
    <t>3/8"</t>
  </si>
  <si>
    <t>En punto de retorno</t>
  </si>
  <si>
    <t>P2</t>
  </si>
  <si>
    <t>Bar</t>
  </si>
  <si>
    <t>Sistema de transporte:</t>
  </si>
  <si>
    <t>Cod.</t>
  </si>
  <si>
    <t>Diám.</t>
  </si>
  <si>
    <t>Esp/Sch</t>
  </si>
  <si>
    <t>Sonda d mm</t>
  </si>
  <si>
    <t>Vol son</t>
  </si>
  <si>
    <t>cc</t>
  </si>
  <si>
    <t>Longitud</t>
  </si>
  <si>
    <t>mts.</t>
  </si>
  <si>
    <t>Min.</t>
  </si>
  <si>
    <t>Normal</t>
  </si>
  <si>
    <t>Max.</t>
  </si>
  <si>
    <t>Sonda L mm</t>
  </si>
  <si>
    <t>1/2"</t>
  </si>
  <si>
    <t>Volumen vaporizador, cc</t>
  </si>
  <si>
    <t>Cálculo línea de transporte</t>
  </si>
  <si>
    <t>Volumen total</t>
  </si>
  <si>
    <t>0.065"</t>
  </si>
  <si>
    <t>Tiempo muerto residencia</t>
  </si>
  <si>
    <t>secs.</t>
  </si>
  <si>
    <t>5/8"</t>
  </si>
  <si>
    <t>Rd.</t>
  </si>
  <si>
    <t>l/min</t>
  </si>
  <si>
    <t>VALORES AUXILIARES</t>
  </si>
  <si>
    <t>3/4"</t>
  </si>
  <si>
    <t>m/sec</t>
  </si>
  <si>
    <t>cP=cSt * Density</t>
  </si>
  <si>
    <t>Sec</t>
  </si>
  <si>
    <t>lambda:</t>
  </si>
  <si>
    <t>s.d.</t>
  </si>
  <si>
    <t>1"</t>
  </si>
  <si>
    <t xml:space="preserve">Secci-1 </t>
  </si>
  <si>
    <t>cm2</t>
  </si>
  <si>
    <t>0.095"</t>
  </si>
  <si>
    <t>Códigos de líneas</t>
  </si>
  <si>
    <t xml:space="preserve">Secci-2 </t>
  </si>
  <si>
    <t>6 mm.</t>
  </si>
  <si>
    <t>1 mm.</t>
  </si>
  <si>
    <t>1.- 1/8" OD x 0.028"</t>
  </si>
  <si>
    <t xml:space="preserve"> 9.- 1/2" OD x 0.049"</t>
  </si>
  <si>
    <t>17 .- 8 OD x 1 mm</t>
  </si>
  <si>
    <t>25.- 3 OD x 0.75</t>
  </si>
  <si>
    <t>Density s/mw</t>
  </si>
  <si>
    <t>kg/m3</t>
  </si>
  <si>
    <t>8 mm.</t>
  </si>
  <si>
    <t>2.- 1/8" OD x 0.035"</t>
  </si>
  <si>
    <t>10.- 1/2" OD x 0.065"</t>
  </si>
  <si>
    <t>18.- 12 OD x 1 mm</t>
  </si>
  <si>
    <t>26.- 3 OD x 1 mm.</t>
  </si>
  <si>
    <t>Density cal.</t>
  </si>
  <si>
    <t>12 mm.</t>
  </si>
  <si>
    <t>3.- 1/4" OD x 0.028"</t>
  </si>
  <si>
    <t>11.- 5/8" OD x 0.049"</t>
  </si>
  <si>
    <t>19:- 1/2" Sch. 40</t>
  </si>
  <si>
    <t>27.- 6 OD x 1.25 mm</t>
  </si>
  <si>
    <t>kg/cm2</t>
  </si>
  <si>
    <t>Sch. 40</t>
  </si>
  <si>
    <t>4.- 1/4" OD x 0.035"</t>
  </si>
  <si>
    <t>12.- 3/4" OD x 0.035"</t>
  </si>
  <si>
    <t>20.- 1/2" Sch.80</t>
  </si>
  <si>
    <t>28.- 6 OD x 1.5 mm</t>
  </si>
  <si>
    <t>Sch. 80</t>
  </si>
  <si>
    <t>5.- 1/4" OD x 0.049"</t>
  </si>
  <si>
    <t>13.- 3/4" OD x 0.065"</t>
  </si>
  <si>
    <t>21.- 3/4" Sch.40</t>
  </si>
  <si>
    <t>29 .- 12 OD x 1.5 mm</t>
  </si>
  <si>
    <t>Diam- 1</t>
  </si>
  <si>
    <t>mm</t>
  </si>
  <si>
    <t>6.- 3/8" OD x 0.035"</t>
  </si>
  <si>
    <t>14.- 1" OD x 0.065"</t>
  </si>
  <si>
    <t>22.- 3/4" Sch. 80</t>
  </si>
  <si>
    <t>Diam-2</t>
  </si>
  <si>
    <t>7.- 3/8" OD x 0.049"</t>
  </si>
  <si>
    <t>15.- 1" OD x 0.095"</t>
  </si>
  <si>
    <t>23.- 1" Sch.40</t>
  </si>
  <si>
    <t>31.-</t>
  </si>
  <si>
    <t>v (turbulento)</t>
  </si>
  <si>
    <t>8 .- 1/2" OD x 0.035"</t>
  </si>
  <si>
    <t>16.- 6 OD x 1 mm</t>
  </si>
  <si>
    <t>24.- 1" Sch. 80</t>
  </si>
  <si>
    <t>32.-</t>
  </si>
  <si>
    <t>Rd</t>
  </si>
  <si>
    <t>xxxx</t>
  </si>
  <si>
    <t>v (laminar)</t>
  </si>
  <si>
    <t>3 mm.</t>
  </si>
  <si>
    <t>0.75 mm.</t>
  </si>
  <si>
    <t>P. entrada</t>
  </si>
  <si>
    <t>1.0 mm.</t>
  </si>
  <si>
    <t>v(seleccionada)</t>
  </si>
  <si>
    <t>1.25 mm.</t>
  </si>
  <si>
    <t>Caudal</t>
  </si>
  <si>
    <t>1.5 mm</t>
  </si>
  <si>
    <t>Caudal selecc.</t>
  </si>
  <si>
    <t>12mm</t>
  </si>
  <si>
    <t>Nueva velocidad</t>
  </si>
  <si>
    <t>Nuevo Rd</t>
  </si>
  <si>
    <t>Cálculos de vaporización</t>
  </si>
  <si>
    <t>volumen sonda</t>
  </si>
  <si>
    <t>Línea., código</t>
  </si>
  <si>
    <t>Metros</t>
  </si>
  <si>
    <t>Volumen de tubing</t>
  </si>
  <si>
    <t>Sonda. Diám. interno mm.</t>
  </si>
  <si>
    <t>Volumen de instrumentos, filtros, etc.</t>
  </si>
  <si>
    <t>Sonda. Longitud mm.</t>
  </si>
  <si>
    <t>Otros volúmenes a considerar</t>
  </si>
  <si>
    <t>Línea  Código</t>
  </si>
  <si>
    <t>Volumen total linea a analizador</t>
  </si>
  <si>
    <t>Línea. longitud, m</t>
  </si>
  <si>
    <t xml:space="preserve">Caudal de muestra al analizador </t>
  </si>
  <si>
    <t>De</t>
  </si>
  <si>
    <t>a</t>
  </si>
  <si>
    <t>Tiempo muerto de transporte</t>
  </si>
  <si>
    <t xml:space="preserve">Entre </t>
  </si>
  <si>
    <t xml:space="preserve">y </t>
  </si>
  <si>
    <t>Código</t>
  </si>
  <si>
    <t>Otros tiempos muertos ( ver cálculos auxiliares ref.                            )</t>
  </si>
  <si>
    <t>Longitud, m.</t>
  </si>
  <si>
    <t>Tiempo muerto</t>
  </si>
  <si>
    <t>Lazo rápido. Según cálculos corregidos arriba.</t>
  </si>
  <si>
    <t>Total</t>
  </si>
  <si>
    <t>Al analizador</t>
  </si>
  <si>
    <t>Otros</t>
  </si>
  <si>
    <t>TOTAL</t>
  </si>
  <si>
    <t>Notas</t>
  </si>
  <si>
    <t>0,065"</t>
  </si>
  <si>
    <t>barg</t>
  </si>
  <si>
    <t>Cálculo de incrementos de presión tanto si los diámetros son iguales</t>
  </si>
  <si>
    <t>como si los diámetros son distintos</t>
  </si>
  <si>
    <t>Diámetro 1 d1=</t>
  </si>
  <si>
    <t>Diámetro 2 d2 =</t>
  </si>
  <si>
    <t>Incr Press DP1</t>
  </si>
  <si>
    <t>IncP =P1-P2 =</t>
  </si>
  <si>
    <t>Long  L1</t>
  </si>
  <si>
    <t>Lamba 1 =</t>
  </si>
  <si>
    <t>Lamba 2 =</t>
  </si>
  <si>
    <t>Long 1 L1=</t>
  </si>
  <si>
    <t>Long 2 L2=</t>
  </si>
  <si>
    <t>Incremento de P1 = incremento de P x K / 1+K =</t>
  </si>
  <si>
    <t>bar</t>
  </si>
  <si>
    <t>Según cálculos de 17-3-03</t>
  </si>
  <si>
    <t xml:space="preserve">V1 al cuadrado = </t>
  </si>
  <si>
    <t>Nueva Incr P1=</t>
  </si>
  <si>
    <t>Correcciones con caudal seleccionado</t>
  </si>
  <si>
    <t>L</t>
  </si>
  <si>
    <t>Tiempo antes y durante reducción</t>
  </si>
  <si>
    <t>Si es menor de 1 sec. no se considera</t>
  </si>
  <si>
    <t>Cálculos adicionales</t>
  </si>
  <si>
    <t>Tiempo muerto de transporte desde el último lazo rápido al analizador</t>
  </si>
  <si>
    <t>TABLA DE VALORES DE TUBINGS Y PIPES</t>
  </si>
  <si>
    <t>d, mm</t>
  </si>
  <si>
    <t>30.- 3/8" X 0,065"</t>
  </si>
  <si>
    <t>Sonda</t>
  </si>
  <si>
    <t xml:space="preserve">  Caudal lazo ràpido 2º cc/min</t>
  </si>
  <si>
    <t>Todo líquido</t>
  </si>
  <si>
    <t>Todo líquido. Con bomba</t>
  </si>
  <si>
    <t>G</t>
  </si>
  <si>
    <t>Todo Gas</t>
  </si>
  <si>
    <t>Líquido vaporizado junto a sonda</t>
  </si>
  <si>
    <t>Factor K =</t>
  </si>
  <si>
    <t>d1 a la quinta =</t>
  </si>
  <si>
    <t>d2 a la quinta =</t>
  </si>
  <si>
    <t xml:space="preserve"> Presión entrada a SAM (en lazo rápido)</t>
  </si>
  <si>
    <t xml:space="preserve"> Velocidad media en la línea</t>
  </si>
  <si>
    <t xml:space="preserve"> Tiempo de transporte Tt</t>
  </si>
  <si>
    <t xml:space="preserve"> Nuevo Nº de Reynolds</t>
  </si>
  <si>
    <t xml:space="preserve"> Número de Reynolds</t>
  </si>
  <si>
    <t xml:space="preserve"> Tiempo de transporte  Tt</t>
  </si>
  <si>
    <t xml:space="preserve"> Caudal de muestra</t>
  </si>
  <si>
    <t xml:space="preserve"> Línea de transporte. </t>
  </si>
  <si>
    <t xml:space="preserve"> Línea de retorno</t>
  </si>
  <si>
    <t xml:space="preserve"> En proceso</t>
  </si>
  <si>
    <t xml:space="preserve"> Línea de transporte</t>
  </si>
  <si>
    <t xml:space="preserve"> SAM, al analizador</t>
  </si>
  <si>
    <t xml:space="preserve"> En punto de retorno</t>
  </si>
  <si>
    <t>Manifold sonda, cc</t>
  </si>
  <si>
    <t>DATOS DE IDENTIFICACIÓN DEL DOCUMENTO</t>
  </si>
  <si>
    <t>Escribir sólo en las celdas con fondo amarillo</t>
  </si>
  <si>
    <t>Poner los datos que correspondan en cada celda (presión, temperatura, densidad, coeficiente Z -para gases- y viscosidad de la muestra)</t>
  </si>
  <si>
    <t>En la columna "Fase" indicar L ó G para cada una de las situaciones. En la parte inferior de la hoja hay unos dibujos de ayuda.</t>
  </si>
  <si>
    <t>Poner las distancias en metros desde la sonda al SAM y desde éste al retorno</t>
  </si>
  <si>
    <t>Poner el número de código de la línea, según la tabla que hay en medio de la hoja (en rojo)</t>
  </si>
  <si>
    <t>Si no hay ningún lazo rápido secundario no poner nada en las casillas de la derecha</t>
  </si>
  <si>
    <t>El cálculo nos ofrece el tiempo de transporte Tt, la presión en el SAM, la velocidad media en la línea y el número de Reynolds para el caudal seleccionado.</t>
  </si>
  <si>
    <t>Si no nos encaja seleccionar otros diámetros de línea introduciendo los códigos correspondientes</t>
  </si>
  <si>
    <t>Seleccionar un caudal inferior y "redondo".Será la escala del medidor de cuadal en el lazo rápido</t>
  </si>
  <si>
    <t>Automáticamente aparecen los valores del número de Reynolds, velocidad, tiempo de transporte y el caudal de muestra máximo calculados</t>
  </si>
  <si>
    <t>Cuadro de "Cálculos adicionales" Si todo está en fase líquido no hay que hacer ni escribir nada. En otros casos poner los datos de la sonda</t>
  </si>
  <si>
    <t>Cuadro de "Tiempo muerto desde el último lazo rápido hasta el analizador: Poner los datos correspondientes al tubing y últimos accesorios</t>
  </si>
  <si>
    <t>El tiempo muerto total depende del caudal (máximo ó minimo)</t>
  </si>
  <si>
    <r>
      <t xml:space="preserve">La hoja está protegida. Sólo para evitar errores. La clave es: </t>
    </r>
    <r>
      <rPr>
        <sz val="12"/>
        <color indexed="10"/>
        <rFont val="Arial"/>
        <family val="2"/>
      </rPr>
      <t>icue</t>
    </r>
  </si>
  <si>
    <t>Si la muestra está en fase gas en cualquiera de sus puntos, poner el peso molecular: MW. La densidad del gas se calculará sola (función de MW, P, T y Z).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</si>
</sst>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dd\-mm\-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Helv"/>
      <family val="0"/>
    </font>
    <font>
      <sz val="7"/>
      <color indexed="10"/>
      <name val="Arial"/>
      <family val="2"/>
    </font>
    <font>
      <sz val="7"/>
      <name val="Arial"/>
      <family val="2"/>
    </font>
    <font>
      <u val="single"/>
      <sz val="7"/>
      <color indexed="10"/>
      <name val="Arial"/>
      <family val="2"/>
    </font>
    <font>
      <b/>
      <sz val="9"/>
      <name val="Helv"/>
      <family val="0"/>
    </font>
    <font>
      <b/>
      <sz val="8"/>
      <name val="Arial"/>
      <family val="0"/>
    </font>
    <font>
      <sz val="8"/>
      <name val="Helv"/>
      <family val="0"/>
    </font>
    <font>
      <b/>
      <sz val="9"/>
      <name val="Arial"/>
      <family val="0"/>
    </font>
    <font>
      <i/>
      <sz val="8"/>
      <color indexed="10"/>
      <name val="Arial"/>
      <family val="2"/>
    </font>
    <font>
      <sz val="9"/>
      <color indexed="10"/>
      <name val="Arial"/>
      <family val="2"/>
    </font>
    <font>
      <i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b/>
      <sz val="8"/>
      <color indexed="10"/>
      <name val="Arial"/>
      <family val="0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Helv"/>
      <family val="0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Helv"/>
      <family val="0"/>
    </font>
    <font>
      <sz val="9"/>
      <color indexed="9"/>
      <name val="Helv"/>
      <family val="0"/>
    </font>
    <font>
      <b/>
      <sz val="9"/>
      <color indexed="10"/>
      <name val="Helv"/>
      <family val="0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7" fillId="3" borderId="0" xfId="0" applyFont="1" applyFill="1" applyBorder="1" applyAlignment="1" applyProtection="1">
      <alignment/>
      <protection/>
    </xf>
    <xf numFmtId="1" fontId="7" fillId="3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1" fillId="3" borderId="5" xfId="0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7" fillId="3" borderId="14" xfId="0" applyFont="1" applyFill="1" applyBorder="1" applyAlignment="1" applyProtection="1">
      <alignment/>
      <protection/>
    </xf>
    <xf numFmtId="0" fontId="7" fillId="3" borderId="15" xfId="0" applyFont="1" applyFill="1" applyBorder="1" applyAlignment="1" applyProtection="1">
      <alignment/>
      <protection/>
    </xf>
    <xf numFmtId="0" fontId="7" fillId="3" borderId="15" xfId="0" applyFont="1" applyFill="1" applyBorder="1" applyAlignment="1" applyProtection="1">
      <alignment horizontal="right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/>
    </xf>
    <xf numFmtId="1" fontId="7" fillId="3" borderId="6" xfId="0" applyNumberFormat="1" applyFont="1" applyFill="1" applyBorder="1" applyAlignment="1" applyProtection="1">
      <alignment/>
      <protection/>
    </xf>
    <xf numFmtId="0" fontId="11" fillId="3" borderId="7" xfId="0" applyFont="1" applyFill="1" applyBorder="1" applyAlignment="1" applyProtection="1">
      <alignment/>
      <protection/>
    </xf>
    <xf numFmtId="0" fontId="7" fillId="3" borderId="10" xfId="0" applyFont="1" applyFill="1" applyBorder="1" applyAlignment="1" applyProtection="1">
      <alignment/>
      <protection/>
    </xf>
    <xf numFmtId="1" fontId="7" fillId="3" borderId="11" xfId="0" applyNumberFormat="1" applyFont="1" applyFill="1" applyBorder="1" applyAlignment="1" applyProtection="1">
      <alignment/>
      <protection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184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84" fontId="7" fillId="3" borderId="6" xfId="0" applyNumberFormat="1" applyFont="1" applyFill="1" applyBorder="1" applyAlignment="1" applyProtection="1">
      <alignment/>
      <protection/>
    </xf>
    <xf numFmtId="184" fontId="7" fillId="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4" fillId="0" borderId="7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locked="0"/>
    </xf>
    <xf numFmtId="0" fontId="20" fillId="5" borderId="34" xfId="0" applyFont="1" applyFill="1" applyBorder="1" applyAlignment="1" applyProtection="1">
      <alignment/>
      <protection/>
    </xf>
    <xf numFmtId="0" fontId="21" fillId="5" borderId="6" xfId="0" applyFont="1" applyFill="1" applyBorder="1" applyAlignment="1">
      <alignment/>
    </xf>
    <xf numFmtId="0" fontId="21" fillId="5" borderId="4" xfId="0" applyFont="1" applyFill="1" applyBorder="1" applyAlignment="1">
      <alignment/>
    </xf>
    <xf numFmtId="0" fontId="21" fillId="5" borderId="34" xfId="0" applyFont="1" applyFill="1" applyBorder="1" applyAlignment="1">
      <alignment/>
    </xf>
    <xf numFmtId="0" fontId="21" fillId="5" borderId="34" xfId="0" applyFont="1" applyFill="1" applyBorder="1" applyAlignment="1">
      <alignment horizontal="center"/>
    </xf>
    <xf numFmtId="0" fontId="21" fillId="5" borderId="0" xfId="0" applyFont="1" applyFill="1" applyBorder="1" applyAlignment="1">
      <alignment/>
    </xf>
    <xf numFmtId="0" fontId="21" fillId="5" borderId="13" xfId="0" applyFont="1" applyFill="1" applyBorder="1" applyAlignment="1">
      <alignment/>
    </xf>
    <xf numFmtId="2" fontId="20" fillId="5" borderId="34" xfId="0" applyNumberFormat="1" applyFont="1" applyFill="1" applyBorder="1" applyAlignment="1" applyProtection="1">
      <alignment/>
      <protection/>
    </xf>
    <xf numFmtId="2" fontId="20" fillId="5" borderId="10" xfId="0" applyNumberFormat="1" applyFont="1" applyFill="1" applyBorder="1" applyAlignment="1" applyProtection="1">
      <alignment/>
      <protection/>
    </xf>
    <xf numFmtId="0" fontId="21" fillId="5" borderId="11" xfId="0" applyFont="1" applyFill="1" applyBorder="1" applyAlignment="1">
      <alignment/>
    </xf>
    <xf numFmtId="0" fontId="21" fillId="5" borderId="12" xfId="0" applyFont="1" applyFill="1" applyBorder="1" applyAlignment="1">
      <alignment/>
    </xf>
    <xf numFmtId="0" fontId="5" fillId="4" borderId="19" xfId="0" applyFont="1" applyFill="1" applyBorder="1" applyAlignment="1" applyProtection="1">
      <alignment/>
      <protection locked="0"/>
    </xf>
    <xf numFmtId="0" fontId="5" fillId="4" borderId="4" xfId="0" applyFont="1" applyFill="1" applyBorder="1" applyAlignment="1" applyProtection="1">
      <alignment/>
      <protection locked="0"/>
    </xf>
    <xf numFmtId="0" fontId="5" fillId="4" borderId="12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13" xfId="0" applyFon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  <xf numFmtId="0" fontId="5" fillId="2" borderId="19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84" fontId="7" fillId="3" borderId="0" xfId="0" applyNumberFormat="1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22" fillId="0" borderId="25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2" fillId="3" borderId="5" xfId="0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/>
    </xf>
    <xf numFmtId="0" fontId="5" fillId="0" borderId="39" xfId="0" applyFont="1" applyBorder="1" applyAlignment="1">
      <alignment/>
    </xf>
    <xf numFmtId="2" fontId="4" fillId="6" borderId="34" xfId="0" applyNumberFormat="1" applyFont="1" applyFill="1" applyBorder="1" applyAlignment="1" applyProtection="1">
      <alignment horizontal="center"/>
      <protection hidden="1"/>
    </xf>
    <xf numFmtId="2" fontId="4" fillId="6" borderId="40" xfId="0" applyNumberFormat="1" applyFont="1" applyFill="1" applyBorder="1" applyAlignment="1" applyProtection="1">
      <alignment horizontal="center"/>
      <protection hidden="1"/>
    </xf>
    <xf numFmtId="2" fontId="4" fillId="6" borderId="34" xfId="0" applyNumberFormat="1" applyFont="1" applyFill="1" applyBorder="1" applyAlignment="1" applyProtection="1">
      <alignment horizontal="left"/>
      <protection hidden="1"/>
    </xf>
    <xf numFmtId="0" fontId="4" fillId="6" borderId="15" xfId="0" applyFont="1" applyFill="1" applyBorder="1" applyAlignment="1">
      <alignment/>
    </xf>
    <xf numFmtId="0" fontId="13" fillId="6" borderId="6" xfId="0" applyFont="1" applyFill="1" applyBorder="1" applyAlignment="1" applyProtection="1">
      <alignment horizontal="center"/>
      <protection hidden="1"/>
    </xf>
    <xf numFmtId="0" fontId="13" fillId="6" borderId="41" xfId="0" applyFont="1" applyFill="1" applyBorder="1" applyAlignment="1" applyProtection="1">
      <alignment horizontal="center"/>
      <protection hidden="1"/>
    </xf>
    <xf numFmtId="0" fontId="4" fillId="6" borderId="42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6" borderId="26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4" fillId="6" borderId="43" xfId="0" applyFont="1" applyFill="1" applyBorder="1" applyAlignment="1">
      <alignment/>
    </xf>
    <xf numFmtId="0" fontId="4" fillId="6" borderId="15" xfId="0" applyFont="1" applyFill="1" applyBorder="1" applyAlignment="1">
      <alignment horizontal="left"/>
    </xf>
    <xf numFmtId="0" fontId="4" fillId="6" borderId="19" xfId="0" applyFont="1" applyFill="1" applyBorder="1" applyAlignment="1">
      <alignment/>
    </xf>
    <xf numFmtId="0" fontId="4" fillId="6" borderId="44" xfId="0" applyFont="1" applyFill="1" applyBorder="1" applyAlignment="1">
      <alignment/>
    </xf>
    <xf numFmtId="0" fontId="4" fillId="6" borderId="45" xfId="0" applyFont="1" applyFill="1" applyBorder="1" applyAlignment="1">
      <alignment/>
    </xf>
    <xf numFmtId="0" fontId="13" fillId="6" borderId="46" xfId="0" applyFont="1" applyFill="1" applyBorder="1" applyAlignment="1" applyProtection="1">
      <alignment horizontal="center"/>
      <protection hidden="1"/>
    </xf>
    <xf numFmtId="0" fontId="13" fillId="6" borderId="47" xfId="0" applyFont="1" applyFill="1" applyBorder="1" applyAlignment="1" applyProtection="1">
      <alignment horizontal="center"/>
      <protection hidden="1"/>
    </xf>
    <xf numFmtId="0" fontId="5" fillId="6" borderId="8" xfId="0" applyFont="1" applyFill="1" applyBorder="1" applyAlignment="1" applyProtection="1">
      <alignment horizontal="center"/>
      <protection hidden="1"/>
    </xf>
    <xf numFmtId="0" fontId="5" fillId="6" borderId="19" xfId="0" applyFont="1" applyFill="1" applyBorder="1" applyAlignment="1" applyProtection="1">
      <alignment horizontal="center"/>
      <protection hidden="1"/>
    </xf>
    <xf numFmtId="2" fontId="5" fillId="0" borderId="34" xfId="0" applyNumberFormat="1" applyFont="1" applyBorder="1" applyAlignment="1" applyProtection="1">
      <alignment horizontal="right"/>
      <protection hidden="1"/>
    </xf>
    <xf numFmtId="2" fontId="5" fillId="3" borderId="18" xfId="0" applyNumberFormat="1" applyFont="1" applyFill="1" applyBorder="1" applyAlignment="1" applyProtection="1">
      <alignment/>
      <protection/>
    </xf>
    <xf numFmtId="2" fontId="7" fillId="6" borderId="15" xfId="0" applyNumberFormat="1" applyFont="1" applyFill="1" applyBorder="1" applyAlignment="1" applyProtection="1">
      <alignment horizontal="center"/>
      <protection/>
    </xf>
    <xf numFmtId="2" fontId="7" fillId="6" borderId="45" xfId="0" applyNumberFormat="1" applyFont="1" applyFill="1" applyBorder="1" applyAlignment="1" applyProtection="1">
      <alignment horizontal="center"/>
      <protection/>
    </xf>
    <xf numFmtId="0" fontId="7" fillId="7" borderId="48" xfId="0" applyFont="1" applyFill="1" applyBorder="1" applyAlignment="1" applyProtection="1">
      <alignment horizontal="center"/>
      <protection/>
    </xf>
    <xf numFmtId="1" fontId="7" fillId="7" borderId="49" xfId="0" applyNumberFormat="1" applyFont="1" applyFill="1" applyBorder="1" applyAlignment="1" applyProtection="1">
      <alignment/>
      <protection/>
    </xf>
    <xf numFmtId="0" fontId="7" fillId="7" borderId="49" xfId="0" applyFont="1" applyFill="1" applyBorder="1" applyAlignment="1" applyProtection="1">
      <alignment horizontal="center"/>
      <protection/>
    </xf>
    <xf numFmtId="0" fontId="7" fillId="7" borderId="50" xfId="0" applyFont="1" applyFill="1" applyBorder="1" applyAlignment="1" applyProtection="1">
      <alignment/>
      <protection/>
    </xf>
    <xf numFmtId="2" fontId="4" fillId="0" borderId="51" xfId="0" applyNumberFormat="1" applyFont="1" applyBorder="1" applyAlignment="1">
      <alignment horizontal="center"/>
    </xf>
    <xf numFmtId="184" fontId="4" fillId="0" borderId="35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4" fillId="3" borderId="7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14" fillId="2" borderId="6" xfId="0" applyFont="1" applyFill="1" applyBorder="1" applyAlignment="1" applyProtection="1">
      <alignment/>
      <protection hidden="1"/>
    </xf>
    <xf numFmtId="0" fontId="14" fillId="2" borderId="11" xfId="0" applyFont="1" applyFill="1" applyBorder="1" applyAlignment="1" applyProtection="1">
      <alignment/>
      <protection hidden="1"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7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27" fillId="8" borderId="22" xfId="0" applyFont="1" applyFill="1" applyBorder="1" applyAlignment="1" applyProtection="1">
      <alignment/>
      <protection hidden="1"/>
    </xf>
    <xf numFmtId="0" fontId="27" fillId="8" borderId="23" xfId="0" applyFont="1" applyFill="1" applyBorder="1" applyAlignment="1" applyProtection="1">
      <alignment/>
      <protection/>
    </xf>
    <xf numFmtId="0" fontId="28" fillId="8" borderId="23" xfId="0" applyFont="1" applyFill="1" applyBorder="1" applyAlignment="1">
      <alignment/>
    </xf>
    <xf numFmtId="0" fontId="28" fillId="8" borderId="51" xfId="0" applyFont="1" applyFill="1" applyBorder="1" applyAlignment="1">
      <alignment/>
    </xf>
    <xf numFmtId="0" fontId="30" fillId="8" borderId="24" xfId="0" applyFont="1" applyFill="1" applyBorder="1" applyAlignment="1" applyProtection="1">
      <alignment/>
      <protection hidden="1"/>
    </xf>
    <xf numFmtId="0" fontId="28" fillId="8" borderId="0" xfId="0" applyFont="1" applyFill="1" applyBorder="1" applyAlignment="1" applyProtection="1">
      <alignment/>
      <protection hidden="1"/>
    </xf>
    <xf numFmtId="0" fontId="28" fillId="8" borderId="32" xfId="0" applyFont="1" applyFill="1" applyBorder="1" applyAlignment="1" applyProtection="1">
      <alignment/>
      <protection hidden="1"/>
    </xf>
    <xf numFmtId="0" fontId="28" fillId="8" borderId="52" xfId="0" applyFont="1" applyFill="1" applyBorder="1" applyAlignment="1" applyProtection="1">
      <alignment/>
      <protection hidden="1"/>
    </xf>
    <xf numFmtId="0" fontId="30" fillId="8" borderId="0" xfId="0" applyFont="1" applyFill="1" applyBorder="1" applyAlignment="1" applyProtection="1">
      <alignment/>
      <protection hidden="1"/>
    </xf>
    <xf numFmtId="0" fontId="27" fillId="8" borderId="0" xfId="0" applyFont="1" applyFill="1" applyBorder="1" applyAlignment="1" applyProtection="1">
      <alignment/>
      <protection hidden="1"/>
    </xf>
    <xf numFmtId="0" fontId="27" fillId="8" borderId="34" xfId="0" applyFont="1" applyFill="1" applyBorder="1" applyAlignment="1" applyProtection="1">
      <alignment/>
      <protection hidden="1"/>
    </xf>
    <xf numFmtId="0" fontId="28" fillId="8" borderId="34" xfId="0" applyFont="1" applyFill="1" applyBorder="1" applyAlignment="1" applyProtection="1">
      <alignment/>
      <protection hidden="1"/>
    </xf>
    <xf numFmtId="0" fontId="31" fillId="8" borderId="33" xfId="0" applyFont="1" applyFill="1" applyBorder="1" applyAlignment="1" applyProtection="1">
      <alignment horizontal="center"/>
      <protection hidden="1"/>
    </xf>
    <xf numFmtId="0" fontId="28" fillId="8" borderId="0" xfId="0" applyFont="1" applyFill="1" applyBorder="1" applyAlignment="1" applyProtection="1">
      <alignment horizontal="center"/>
      <protection hidden="1"/>
    </xf>
    <xf numFmtId="0" fontId="28" fillId="8" borderId="34" xfId="0" applyFont="1" applyFill="1" applyBorder="1" applyAlignment="1" applyProtection="1">
      <alignment horizontal="center"/>
      <protection hidden="1"/>
    </xf>
    <xf numFmtId="0" fontId="28" fillId="8" borderId="26" xfId="0" applyFont="1" applyFill="1" applyBorder="1" applyAlignment="1" applyProtection="1">
      <alignment/>
      <protection hidden="1"/>
    </xf>
    <xf numFmtId="0" fontId="28" fillId="8" borderId="27" xfId="0" applyFont="1" applyFill="1" applyBorder="1" applyAlignment="1" applyProtection="1">
      <alignment/>
      <protection hidden="1"/>
    </xf>
    <xf numFmtId="0" fontId="28" fillId="8" borderId="53" xfId="0" applyFont="1" applyFill="1" applyBorder="1" applyAlignment="1" applyProtection="1">
      <alignment/>
      <protection hidden="1"/>
    </xf>
    <xf numFmtId="2" fontId="26" fillId="3" borderId="0" xfId="0" applyNumberFormat="1" applyFont="1" applyFill="1" applyBorder="1" applyAlignment="1" applyProtection="1">
      <alignment/>
      <protection/>
    </xf>
    <xf numFmtId="2" fontId="26" fillId="3" borderId="0" xfId="0" applyNumberFormat="1" applyFont="1" applyFill="1" applyBorder="1" applyAlignment="1" applyProtection="1">
      <alignment/>
      <protection hidden="1"/>
    </xf>
    <xf numFmtId="0" fontId="4" fillId="0" borderId="4" xfId="0" applyFont="1" applyBorder="1" applyAlignment="1">
      <alignment horizontal="center"/>
    </xf>
    <xf numFmtId="0" fontId="4" fillId="9" borderId="54" xfId="0" applyFont="1" applyFill="1" applyBorder="1" applyAlignment="1" applyProtection="1">
      <alignment horizontal="center"/>
      <protection locked="0"/>
    </xf>
    <xf numFmtId="2" fontId="4" fillId="9" borderId="40" xfId="0" applyNumberFormat="1" applyFont="1" applyFill="1" applyBorder="1" applyAlignment="1" applyProtection="1">
      <alignment/>
      <protection locked="0"/>
    </xf>
    <xf numFmtId="0" fontId="4" fillId="9" borderId="40" xfId="0" applyFont="1" applyFill="1" applyBorder="1" applyAlignment="1" applyProtection="1">
      <alignment/>
      <protection locked="0"/>
    </xf>
    <xf numFmtId="183" fontId="4" fillId="9" borderId="40" xfId="0" applyNumberFormat="1" applyFont="1" applyFill="1" applyBorder="1" applyAlignment="1" applyProtection="1">
      <alignment/>
      <protection locked="0"/>
    </xf>
    <xf numFmtId="0" fontId="4" fillId="9" borderId="55" xfId="0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6" fillId="0" borderId="57" xfId="0" applyFont="1" applyBorder="1" applyAlignment="1">
      <alignment/>
    </xf>
    <xf numFmtId="2" fontId="4" fillId="4" borderId="58" xfId="0" applyNumberFormat="1" applyFont="1" applyFill="1" applyBorder="1" applyAlignment="1" applyProtection="1">
      <alignment/>
      <protection locked="0"/>
    </xf>
    <xf numFmtId="2" fontId="4" fillId="9" borderId="55" xfId="0" applyNumberFormat="1" applyFont="1" applyFill="1" applyBorder="1" applyAlignment="1" applyProtection="1">
      <alignment/>
      <protection locked="0"/>
    </xf>
    <xf numFmtId="2" fontId="4" fillId="6" borderId="58" xfId="0" applyNumberFormat="1" applyFont="1" applyFill="1" applyBorder="1" applyAlignment="1" applyProtection="1">
      <alignment/>
      <protection hidden="1"/>
    </xf>
    <xf numFmtId="0" fontId="4" fillId="0" borderId="44" xfId="0" applyFont="1" applyBorder="1" applyAlignment="1">
      <alignment horizontal="center"/>
    </xf>
    <xf numFmtId="2" fontId="4" fillId="4" borderId="59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5" fillId="0" borderId="27" xfId="0" applyFont="1" applyBorder="1" applyAlignment="1">
      <alignment/>
    </xf>
    <xf numFmtId="0" fontId="0" fillId="0" borderId="27" xfId="0" applyBorder="1" applyAlignment="1">
      <alignment/>
    </xf>
    <xf numFmtId="2" fontId="32" fillId="3" borderId="0" xfId="0" applyNumberFormat="1" applyFont="1" applyFill="1" applyBorder="1" applyAlignment="1" applyProtection="1">
      <alignment/>
      <protection/>
    </xf>
    <xf numFmtId="0" fontId="3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7" fillId="10" borderId="0" xfId="0" applyFont="1" applyFill="1" applyAlignment="1" applyProtection="1">
      <alignment/>
      <protection hidden="1"/>
    </xf>
    <xf numFmtId="0" fontId="28" fillId="10" borderId="0" xfId="0" applyFont="1" applyFill="1" applyAlignment="1">
      <alignment/>
    </xf>
    <xf numFmtId="0" fontId="27" fillId="10" borderId="0" xfId="0" applyFont="1" applyFill="1" applyAlignment="1">
      <alignment/>
    </xf>
    <xf numFmtId="2" fontId="28" fillId="10" borderId="0" xfId="0" applyNumberFormat="1" applyFont="1" applyFill="1" applyAlignment="1">
      <alignment/>
    </xf>
    <xf numFmtId="0" fontId="27" fillId="10" borderId="34" xfId="0" applyFont="1" applyFill="1" applyBorder="1" applyAlignment="1" applyProtection="1">
      <alignment horizontal="center"/>
      <protection hidden="1"/>
    </xf>
    <xf numFmtId="0" fontId="27" fillId="10" borderId="0" xfId="0" applyFont="1" applyFill="1" applyBorder="1" applyAlignment="1" applyProtection="1">
      <alignment horizontal="right"/>
      <protection/>
    </xf>
    <xf numFmtId="0" fontId="27" fillId="10" borderId="0" xfId="0" applyFont="1" applyFill="1" applyBorder="1" applyAlignment="1" applyProtection="1">
      <alignment horizontal="left"/>
      <protection/>
    </xf>
    <xf numFmtId="0" fontId="27" fillId="10" borderId="0" xfId="0" applyFont="1" applyFill="1" applyAlignment="1" applyProtection="1">
      <alignment/>
      <protection/>
    </xf>
    <xf numFmtId="2" fontId="28" fillId="10" borderId="18" xfId="0" applyNumberFormat="1" applyFont="1" applyFill="1" applyBorder="1" applyAlignment="1">
      <alignment/>
    </xf>
    <xf numFmtId="0" fontId="29" fillId="10" borderId="0" xfId="0" applyFont="1" applyFill="1" applyBorder="1" applyAlignment="1" applyProtection="1">
      <alignment horizontal="left"/>
      <protection/>
    </xf>
    <xf numFmtId="0" fontId="27" fillId="10" borderId="0" xfId="0" applyFont="1" applyFill="1" applyAlignment="1" applyProtection="1">
      <alignment horizontal="left"/>
      <protection/>
    </xf>
    <xf numFmtId="0" fontId="27" fillId="10" borderId="0" xfId="0" applyFont="1" applyFill="1" applyAlignment="1" applyProtection="1">
      <alignment horizontal="right"/>
      <protection/>
    </xf>
    <xf numFmtId="0" fontId="27" fillId="11" borderId="22" xfId="0" applyFont="1" applyFill="1" applyBorder="1" applyAlignment="1" applyProtection="1">
      <alignment/>
      <protection hidden="1"/>
    </xf>
    <xf numFmtId="0" fontId="27" fillId="11" borderId="23" xfId="0" applyFont="1" applyFill="1" applyBorder="1" applyAlignment="1" applyProtection="1">
      <alignment/>
      <protection hidden="1"/>
    </xf>
    <xf numFmtId="0" fontId="27" fillId="11" borderId="51" xfId="0" applyFont="1" applyFill="1" applyBorder="1" applyAlignment="1" applyProtection="1">
      <alignment/>
      <protection hidden="1"/>
    </xf>
    <xf numFmtId="0" fontId="27" fillId="11" borderId="60" xfId="0" applyFont="1" applyFill="1" applyBorder="1" applyAlignment="1" applyProtection="1">
      <alignment/>
      <protection hidden="1"/>
    </xf>
    <xf numFmtId="0" fontId="27" fillId="11" borderId="34" xfId="0" applyFont="1" applyFill="1" applyBorder="1" applyAlignment="1" applyProtection="1">
      <alignment/>
      <protection hidden="1"/>
    </xf>
    <xf numFmtId="0" fontId="27" fillId="11" borderId="19" xfId="0" applyFont="1" applyFill="1" applyBorder="1" applyAlignment="1" applyProtection="1">
      <alignment horizontal="right"/>
      <protection hidden="1"/>
    </xf>
    <xf numFmtId="0" fontId="27" fillId="11" borderId="58" xfId="0" applyFont="1" applyFill="1" applyBorder="1" applyAlignment="1" applyProtection="1">
      <alignment/>
      <protection hidden="1"/>
    </xf>
    <xf numFmtId="0" fontId="27" fillId="11" borderId="34" xfId="0" applyFont="1" applyFill="1" applyBorder="1" applyAlignment="1" applyProtection="1">
      <alignment horizontal="center"/>
      <protection hidden="1"/>
    </xf>
    <xf numFmtId="0" fontId="27" fillId="11" borderId="34" xfId="0" applyFont="1" applyFill="1" applyBorder="1" applyAlignment="1" applyProtection="1">
      <alignment horizontal="right"/>
      <protection hidden="1"/>
    </xf>
    <xf numFmtId="0" fontId="27" fillId="11" borderId="32" xfId="0" applyFont="1" applyFill="1" applyBorder="1" applyAlignment="1" applyProtection="1">
      <alignment horizontal="right"/>
      <protection hidden="1"/>
    </xf>
    <xf numFmtId="0" fontId="27" fillId="11" borderId="20" xfId="0" applyFont="1" applyFill="1" applyBorder="1" applyAlignment="1" applyProtection="1">
      <alignment/>
      <protection hidden="1"/>
    </xf>
    <xf numFmtId="0" fontId="27" fillId="11" borderId="33" xfId="0" applyFont="1" applyFill="1" applyBorder="1" applyAlignment="1" applyProtection="1">
      <alignment horizontal="right"/>
      <protection hidden="1"/>
    </xf>
    <xf numFmtId="2" fontId="27" fillId="11" borderId="34" xfId="0" applyNumberFormat="1" applyFont="1" applyFill="1" applyBorder="1" applyAlignment="1" applyProtection="1">
      <alignment/>
      <protection hidden="1"/>
    </xf>
    <xf numFmtId="0" fontId="27" fillId="11" borderId="9" xfId="0" applyFont="1" applyFill="1" applyBorder="1" applyAlignment="1" applyProtection="1">
      <alignment horizontal="right"/>
      <protection hidden="1"/>
    </xf>
    <xf numFmtId="182" fontId="27" fillId="11" borderId="34" xfId="0" applyNumberFormat="1" applyFont="1" applyFill="1" applyBorder="1" applyAlignment="1" applyProtection="1">
      <alignment/>
      <protection hidden="1"/>
    </xf>
    <xf numFmtId="182" fontId="27" fillId="11" borderId="32" xfId="0" applyNumberFormat="1" applyFont="1" applyFill="1" applyBorder="1" applyAlignment="1" applyProtection="1">
      <alignment/>
      <protection hidden="1"/>
    </xf>
    <xf numFmtId="0" fontId="27" fillId="11" borderId="24" xfId="0" applyFont="1" applyFill="1" applyBorder="1" applyAlignment="1" applyProtection="1">
      <alignment/>
      <protection hidden="1"/>
    </xf>
    <xf numFmtId="2" fontId="27" fillId="11" borderId="35" xfId="0" applyNumberFormat="1" applyFont="1" applyFill="1" applyBorder="1" applyAlignment="1" applyProtection="1">
      <alignment/>
      <protection hidden="1"/>
    </xf>
    <xf numFmtId="0" fontId="27" fillId="11" borderId="0" xfId="0" applyFont="1" applyFill="1" applyBorder="1" applyAlignment="1" applyProtection="1">
      <alignment horizontal="right"/>
      <protection hidden="1"/>
    </xf>
    <xf numFmtId="0" fontId="27" fillId="11" borderId="26" xfId="0" applyFont="1" applyFill="1" applyBorder="1" applyAlignment="1" applyProtection="1">
      <alignment/>
      <protection hidden="1"/>
    </xf>
    <xf numFmtId="0" fontId="27" fillId="11" borderId="27" xfId="0" applyFont="1" applyFill="1" applyBorder="1" applyAlignment="1" applyProtection="1">
      <alignment/>
      <protection hidden="1"/>
    </xf>
    <xf numFmtId="0" fontId="27" fillId="11" borderId="53" xfId="0" applyFont="1" applyFill="1" applyBorder="1" applyAlignment="1" applyProtection="1">
      <alignment/>
      <protection hidden="1"/>
    </xf>
    <xf numFmtId="0" fontId="5" fillId="0" borderId="0" xfId="0" applyFont="1" applyFill="1" applyAlignment="1">
      <alignment/>
    </xf>
    <xf numFmtId="0" fontId="27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2" fontId="18" fillId="6" borderId="34" xfId="0" applyNumberFormat="1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8" xfId="0" applyFont="1" applyFill="1" applyBorder="1" applyAlignment="1" applyProtection="1">
      <alignment/>
      <protection locked="0"/>
    </xf>
    <xf numFmtId="0" fontId="4" fillId="9" borderId="61" xfId="0" applyFont="1" applyFill="1" applyBorder="1" applyAlignment="1" applyProtection="1">
      <alignment/>
      <protection locked="0"/>
    </xf>
    <xf numFmtId="0" fontId="4" fillId="9" borderId="9" xfId="0" applyFont="1" applyFill="1" applyBorder="1" applyAlignment="1" applyProtection="1">
      <alignment horizontal="center"/>
      <protection locked="0"/>
    </xf>
    <xf numFmtId="0" fontId="4" fillId="9" borderId="27" xfId="0" applyFont="1" applyFill="1" applyBorder="1" applyAlignment="1" applyProtection="1">
      <alignment horizontal="center"/>
      <protection locked="0"/>
    </xf>
    <xf numFmtId="0" fontId="13" fillId="9" borderId="62" xfId="0" applyFont="1" applyFill="1" applyBorder="1" applyAlignment="1" applyProtection="1">
      <alignment horizontal="center"/>
      <protection locked="0"/>
    </xf>
    <xf numFmtId="0" fontId="4" fillId="9" borderId="36" xfId="0" applyFont="1" applyFill="1" applyBorder="1" applyAlignment="1" applyProtection="1">
      <alignment horizontal="center"/>
      <protection locked="0"/>
    </xf>
    <xf numFmtId="0" fontId="4" fillId="9" borderId="59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/>
      <protection locked="0"/>
    </xf>
    <xf numFmtId="0" fontId="4" fillId="9" borderId="34" xfId="0" applyFont="1" applyFill="1" applyBorder="1" applyAlignment="1" applyProtection="1">
      <alignment horizontal="center"/>
      <protection locked="0"/>
    </xf>
    <xf numFmtId="2" fontId="4" fillId="9" borderId="34" xfId="0" applyNumberFormat="1" applyFont="1" applyFill="1" applyBorder="1" applyAlignment="1" applyProtection="1">
      <alignment/>
      <protection locked="0"/>
    </xf>
    <xf numFmtId="0" fontId="4" fillId="9" borderId="34" xfId="0" applyFont="1" applyFill="1" applyBorder="1" applyAlignment="1" applyProtection="1">
      <alignment/>
      <protection locked="0"/>
    </xf>
    <xf numFmtId="183" fontId="4" fillId="9" borderId="34" xfId="0" applyNumberFormat="1" applyFont="1" applyFill="1" applyBorder="1" applyAlignment="1" applyProtection="1">
      <alignment/>
      <protection locked="0"/>
    </xf>
    <xf numFmtId="0" fontId="18" fillId="9" borderId="34" xfId="0" applyFont="1" applyFill="1" applyBorder="1" applyAlignment="1" applyProtection="1">
      <alignment horizontal="center"/>
      <protection locked="0"/>
    </xf>
    <xf numFmtId="0" fontId="4" fillId="9" borderId="34" xfId="0" applyFont="1" applyFill="1" applyBorder="1" applyAlignment="1" applyProtection="1">
      <alignment/>
      <protection locked="0"/>
    </xf>
    <xf numFmtId="183" fontId="4" fillId="9" borderId="34" xfId="0" applyNumberFormat="1" applyFont="1" applyFill="1" applyBorder="1" applyAlignment="1" applyProtection="1">
      <alignment horizontal="right"/>
      <protection locked="0"/>
    </xf>
    <xf numFmtId="2" fontId="4" fillId="9" borderId="34" xfId="0" applyNumberFormat="1" applyFont="1" applyFill="1" applyBorder="1" applyAlignment="1" applyProtection="1">
      <alignment horizontal="right"/>
      <protection locked="0"/>
    </xf>
    <xf numFmtId="0" fontId="4" fillId="9" borderId="18" xfId="0" applyFont="1" applyFill="1" applyBorder="1" applyAlignment="1" applyProtection="1">
      <alignment horizontal="center"/>
      <protection locked="0"/>
    </xf>
    <xf numFmtId="2" fontId="5" fillId="9" borderId="34" xfId="0" applyNumberFormat="1" applyFont="1" applyFill="1" applyBorder="1" applyAlignment="1" applyProtection="1">
      <alignment/>
      <protection locked="0"/>
    </xf>
    <xf numFmtId="0" fontId="5" fillId="9" borderId="34" xfId="0" applyFont="1" applyFill="1" applyBorder="1" applyAlignment="1" applyProtection="1">
      <alignment horizontal="center"/>
      <protection locked="0"/>
    </xf>
    <xf numFmtId="0" fontId="5" fillId="9" borderId="34" xfId="0" applyFont="1" applyFill="1" applyBorder="1" applyAlignment="1" applyProtection="1">
      <alignment/>
      <protection locked="0"/>
    </xf>
    <xf numFmtId="0" fontId="5" fillId="9" borderId="34" xfId="0" applyFont="1" applyFill="1" applyBorder="1" applyAlignment="1" applyProtection="1">
      <alignment horizontal="center"/>
      <protection/>
    </xf>
    <xf numFmtId="0" fontId="7" fillId="9" borderId="34" xfId="0" applyFont="1" applyFill="1" applyBorder="1" applyAlignment="1" applyProtection="1">
      <alignment/>
      <protection locked="0"/>
    </xf>
    <xf numFmtId="2" fontId="4" fillId="6" borderId="34" xfId="0" applyNumberFormat="1" applyFont="1" applyFill="1" applyBorder="1" applyAlignment="1" applyProtection="1">
      <alignment/>
      <protection locked="0"/>
    </xf>
    <xf numFmtId="0" fontId="5" fillId="11" borderId="0" xfId="0" applyFont="1" applyFill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12" borderId="65" xfId="0" applyFont="1" applyFill="1" applyBorder="1" applyAlignment="1">
      <alignment horizontal="center"/>
    </xf>
    <xf numFmtId="0" fontId="4" fillId="12" borderId="66" xfId="0" applyFont="1" applyFill="1" applyBorder="1" applyAlignment="1">
      <alignment horizontal="center"/>
    </xf>
    <xf numFmtId="0" fontId="4" fillId="12" borderId="6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9" borderId="27" xfId="0" applyFont="1" applyFill="1" applyBorder="1" applyAlignment="1" applyProtection="1">
      <alignment horizontal="center"/>
      <protection locked="0"/>
    </xf>
    <xf numFmtId="0" fontId="4" fillId="9" borderId="68" xfId="0" applyFont="1" applyFill="1" applyBorder="1" applyAlignment="1" applyProtection="1">
      <alignment horizontal="center"/>
      <protection locked="0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6" borderId="73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9" borderId="0" xfId="0" applyFont="1" applyFill="1" applyBorder="1" applyAlignment="1" applyProtection="1">
      <alignment horizontal="center"/>
      <protection locked="0"/>
    </xf>
    <xf numFmtId="0" fontId="4" fillId="9" borderId="13" xfId="0" applyFont="1" applyFill="1" applyBorder="1" applyAlignment="1" applyProtection="1">
      <alignment horizontal="center"/>
      <protection locked="0"/>
    </xf>
    <xf numFmtId="0" fontId="4" fillId="0" borderId="60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23" fillId="9" borderId="7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/>
    </xf>
    <xf numFmtId="0" fontId="5" fillId="9" borderId="0" xfId="0" applyFont="1" applyFill="1" applyBorder="1" applyAlignment="1">
      <alignment/>
    </xf>
    <xf numFmtId="0" fontId="6" fillId="9" borderId="0" xfId="0" applyFont="1" applyFill="1" applyBorder="1" applyAlignment="1">
      <alignment horizontal="center"/>
    </xf>
    <xf numFmtId="0" fontId="5" fillId="9" borderId="0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17" fillId="9" borderId="7" xfId="0" applyFont="1" applyFill="1" applyBorder="1" applyAlignment="1">
      <alignment/>
    </xf>
    <xf numFmtId="0" fontId="5" fillId="9" borderId="0" xfId="0" applyFont="1" applyFill="1" applyBorder="1" applyAlignment="1" applyProtection="1">
      <alignment/>
      <protection locked="0"/>
    </xf>
    <xf numFmtId="0" fontId="6" fillId="9" borderId="0" xfId="0" applyFont="1" applyFill="1" applyBorder="1" applyAlignment="1" applyProtection="1">
      <alignment horizontal="center"/>
      <protection/>
    </xf>
    <xf numFmtId="0" fontId="5" fillId="9" borderId="13" xfId="0" applyFont="1" applyFill="1" applyBorder="1" applyAlignment="1" applyProtection="1">
      <alignment/>
      <protection locked="0"/>
    </xf>
    <xf numFmtId="0" fontId="15" fillId="9" borderId="7" xfId="0" applyFont="1" applyFill="1" applyBorder="1" applyAlignment="1" applyProtection="1">
      <alignment/>
      <protection locked="0"/>
    </xf>
    <xf numFmtId="0" fontId="15" fillId="9" borderId="0" xfId="0" applyFont="1" applyFill="1" applyBorder="1" applyAlignment="1" applyProtection="1">
      <alignment/>
      <protection locked="0"/>
    </xf>
    <xf numFmtId="0" fontId="16" fillId="9" borderId="0" xfId="0" applyFont="1" applyFill="1" applyBorder="1" applyAlignment="1" applyProtection="1">
      <alignment/>
      <protection locked="0"/>
    </xf>
    <xf numFmtId="185" fontId="5" fillId="9" borderId="0" xfId="0" applyNumberFormat="1" applyFont="1" applyFill="1" applyBorder="1" applyAlignment="1" applyProtection="1">
      <alignment horizontal="center"/>
      <protection locked="0"/>
    </xf>
    <xf numFmtId="185" fontId="5" fillId="9" borderId="13" xfId="0" applyNumberFormat="1" applyFont="1" applyFill="1" applyBorder="1" applyAlignment="1" applyProtection="1">
      <alignment horizontal="center"/>
      <protection locked="0"/>
    </xf>
    <xf numFmtId="0" fontId="19" fillId="9" borderId="7" xfId="0" applyFont="1" applyFill="1" applyBorder="1" applyAlignment="1" applyProtection="1">
      <alignment/>
      <protection hidden="1"/>
    </xf>
    <xf numFmtId="0" fontId="6" fillId="9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/>
    </xf>
    <xf numFmtId="0" fontId="15" fillId="9" borderId="0" xfId="0" applyFont="1" applyFill="1" applyBorder="1" applyAlignment="1">
      <alignment/>
    </xf>
    <xf numFmtId="0" fontId="6" fillId="9" borderId="0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>
      <alignment/>
    </xf>
    <xf numFmtId="0" fontId="5" fillId="9" borderId="11" xfId="0" applyFont="1" applyFill="1" applyBorder="1" applyAlignment="1">
      <alignment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76" xfId="0" applyFont="1" applyFill="1" applyBorder="1" applyAlignment="1">
      <alignment/>
    </xf>
    <xf numFmtId="0" fontId="5" fillId="9" borderId="23" xfId="0" applyFont="1" applyFill="1" applyBorder="1" applyAlignment="1">
      <alignment/>
    </xf>
    <xf numFmtId="0" fontId="5" fillId="9" borderId="56" xfId="0" applyFont="1" applyFill="1" applyBorder="1" applyAlignment="1">
      <alignment/>
    </xf>
    <xf numFmtId="0" fontId="5" fillId="0" borderId="27" xfId="0" applyFont="1" applyBorder="1" applyAlignment="1" applyProtection="1">
      <alignment/>
      <protection locked="0"/>
    </xf>
    <xf numFmtId="2" fontId="4" fillId="13" borderId="34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161925</xdr:colOff>
      <xdr:row>1</xdr:row>
      <xdr:rowOff>38100</xdr:rowOff>
    </xdr:from>
    <xdr:to>
      <xdr:col>23</xdr:col>
      <xdr:colOff>647700</xdr:colOff>
      <xdr:row>3</xdr:row>
      <xdr:rowOff>161925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00025"/>
          <a:ext cx="3838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19"/>
  <sheetViews>
    <sheetView workbookViewId="0" topLeftCell="A1">
      <selection activeCell="P2" sqref="P2"/>
    </sheetView>
  </sheetViews>
  <sheetFormatPr defaultColWidth="9.140625" defaultRowHeight="12.75"/>
  <cols>
    <col min="2" max="2" width="5.7109375" style="0" customWidth="1"/>
  </cols>
  <sheetData>
    <row r="5" spans="2:17" ht="19.5" customHeight="1">
      <c r="B5" s="368">
        <v>1</v>
      </c>
      <c r="C5" s="366" t="s">
        <v>227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</row>
    <row r="6" spans="2:17" ht="19.5" customHeight="1">
      <c r="B6" s="368">
        <v>2</v>
      </c>
      <c r="C6" s="366" t="s">
        <v>240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</row>
    <row r="7" spans="2:17" ht="19.5" customHeight="1">
      <c r="B7" s="368">
        <v>3</v>
      </c>
      <c r="C7" s="366" t="s">
        <v>229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</row>
    <row r="8" spans="2:17" ht="19.5" customHeight="1">
      <c r="B8" s="368">
        <v>4</v>
      </c>
      <c r="C8" s="366" t="s">
        <v>241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</row>
    <row r="9" spans="2:17" ht="19.5" customHeight="1">
      <c r="B9" s="368">
        <v>5</v>
      </c>
      <c r="C9" s="366" t="s">
        <v>228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</row>
    <row r="10" spans="2:17" ht="19.5" customHeight="1">
      <c r="B10" s="368">
        <v>6</v>
      </c>
      <c r="C10" s="366" t="s">
        <v>230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</row>
    <row r="11" spans="2:17" ht="19.5" customHeight="1">
      <c r="B11" s="368">
        <v>7</v>
      </c>
      <c r="C11" s="366" t="s">
        <v>231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7" ht="19.5" customHeight="1">
      <c r="B12" s="368">
        <v>8</v>
      </c>
      <c r="C12" s="366" t="s">
        <v>232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</row>
    <row r="13" spans="2:17" ht="19.5" customHeight="1">
      <c r="B13" s="368">
        <v>9</v>
      </c>
      <c r="C13" s="366" t="s">
        <v>236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</row>
    <row r="14" spans="2:17" ht="19.5" customHeight="1">
      <c r="B14" s="368">
        <v>10</v>
      </c>
      <c r="C14" s="366" t="s">
        <v>234</v>
      </c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</row>
    <row r="15" spans="2:17" ht="19.5" customHeight="1">
      <c r="B15" s="368">
        <v>11</v>
      </c>
      <c r="C15" s="366" t="s">
        <v>235</v>
      </c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</row>
    <row r="16" spans="2:17" ht="19.5" customHeight="1">
      <c r="B16" s="368">
        <v>12</v>
      </c>
      <c r="C16" s="366" t="s">
        <v>233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</row>
    <row r="17" spans="2:17" ht="19.5" customHeight="1">
      <c r="B17" s="368">
        <v>13</v>
      </c>
      <c r="C17" s="366" t="s">
        <v>237</v>
      </c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</row>
    <row r="18" spans="2:17" ht="19.5" customHeight="1">
      <c r="B18" s="368"/>
      <c r="C18" s="366" t="s">
        <v>238</v>
      </c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</row>
    <row r="19" spans="3:17" ht="15">
      <c r="C19" s="367" t="s">
        <v>239</v>
      </c>
      <c r="D19" s="367"/>
      <c r="E19" s="367"/>
      <c r="F19" s="367"/>
      <c r="G19" s="367"/>
      <c r="H19" s="367"/>
      <c r="I19" s="366"/>
      <c r="J19" s="366"/>
      <c r="K19" s="366"/>
      <c r="L19" s="366"/>
      <c r="M19" s="366"/>
      <c r="N19" s="366"/>
      <c r="O19" s="366"/>
      <c r="P19" s="366"/>
      <c r="Q19" s="36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124"/>
  <sheetViews>
    <sheetView showGridLines="0" showZeros="0" tabSelected="1" workbookViewId="0" topLeftCell="A1">
      <selection activeCell="H13" sqref="H13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6.140625" style="1" customWidth="1"/>
    <col min="4" max="4" width="5.28125" style="1" customWidth="1"/>
    <col min="5" max="5" width="6.421875" style="1" customWidth="1"/>
    <col min="6" max="6" width="6.28125" style="1" customWidth="1"/>
    <col min="7" max="7" width="6.421875" style="1" customWidth="1"/>
    <col min="8" max="8" width="7.00390625" style="1" customWidth="1"/>
    <col min="9" max="10" width="8.00390625" style="1" customWidth="1"/>
    <col min="11" max="11" width="7.7109375" style="1" customWidth="1"/>
    <col min="12" max="12" width="7.00390625" style="1" customWidth="1"/>
    <col min="13" max="13" width="8.140625" style="1" customWidth="1"/>
    <col min="14" max="14" width="7.421875" style="1" customWidth="1"/>
    <col min="15" max="15" width="7.00390625" style="1" customWidth="1"/>
    <col min="16" max="16" width="1.28515625" style="1" customWidth="1"/>
    <col min="17" max="17" width="1.7109375" style="1" hidden="1" customWidth="1"/>
    <col min="18" max="18" width="4.8515625" style="301" customWidth="1"/>
    <col min="19" max="19" width="17.57421875" style="1" customWidth="1"/>
    <col min="20" max="20" width="9.8515625" style="1" customWidth="1"/>
    <col min="21" max="21" width="7.140625" style="1" customWidth="1"/>
    <col min="22" max="22" width="8.57421875" style="1" customWidth="1"/>
    <col min="23" max="23" width="7.140625" style="1" customWidth="1"/>
    <col min="24" max="24" width="10.421875" style="1" customWidth="1"/>
    <col min="25" max="25" width="8.00390625" style="1" customWidth="1"/>
    <col min="26" max="26" width="5.7109375" style="1" customWidth="1"/>
    <col min="27" max="27" width="8.28125" style="1" customWidth="1"/>
    <col min="28" max="28" width="5.28125" style="1" customWidth="1"/>
    <col min="29" max="29" width="17.140625" style="1" customWidth="1"/>
    <col min="30" max="30" width="12.421875" style="1" customWidth="1"/>
    <col min="31" max="31" width="5.421875" style="1" customWidth="1"/>
    <col min="32" max="32" width="3.140625" style="1" customWidth="1"/>
    <col min="33" max="33" width="11.421875" style="1" customWidth="1"/>
    <col min="34" max="34" width="3.7109375" style="1" customWidth="1"/>
    <col min="35" max="36" width="11.421875" style="1" customWidth="1"/>
    <col min="37" max="37" width="7.8515625" style="1" customWidth="1"/>
    <col min="38" max="39" width="11.421875" style="1" customWidth="1"/>
    <col min="40" max="40" width="9.140625" style="1" customWidth="1"/>
    <col min="41" max="41" width="9.57421875" style="1" customWidth="1"/>
    <col min="42" max="42" width="9.421875" style="1" customWidth="1"/>
    <col min="43" max="43" width="9.00390625" style="1" customWidth="1"/>
    <col min="44" max="16384" width="11.421875" style="1" customWidth="1"/>
  </cols>
  <sheetData>
    <row r="1" ht="12.75" thickBot="1"/>
    <row r="2" spans="1:16" ht="18.75" customHeight="1">
      <c r="A2" s="222"/>
      <c r="B2" s="223"/>
      <c r="C2" s="361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3"/>
      <c r="P2" s="224"/>
    </row>
    <row r="3" spans="1:24" ht="20.25" customHeight="1">
      <c r="A3" s="225"/>
      <c r="B3" s="2"/>
      <c r="C3" s="336"/>
      <c r="D3" s="337"/>
      <c r="E3" s="337"/>
      <c r="F3" s="338"/>
      <c r="G3" s="338"/>
      <c r="H3" s="339"/>
      <c r="I3" s="339"/>
      <c r="J3" s="339"/>
      <c r="K3" s="339"/>
      <c r="L3" s="340"/>
      <c r="M3" s="340"/>
      <c r="N3" s="341"/>
      <c r="O3" s="342"/>
      <c r="P3" s="226"/>
      <c r="T3" s="370"/>
      <c r="U3" s="369"/>
      <c r="V3" s="369"/>
      <c r="W3" s="369"/>
      <c r="X3" s="369"/>
    </row>
    <row r="4" spans="1:16" ht="20.25" customHeight="1">
      <c r="A4" s="225"/>
      <c r="B4" s="2"/>
      <c r="C4" s="343"/>
      <c r="D4" s="339"/>
      <c r="E4" s="339"/>
      <c r="F4" s="344"/>
      <c r="G4" s="344"/>
      <c r="H4" s="344"/>
      <c r="I4" s="344"/>
      <c r="J4" s="344"/>
      <c r="K4" s="344"/>
      <c r="L4" s="345"/>
      <c r="M4" s="345"/>
      <c r="N4" s="344"/>
      <c r="O4" s="346"/>
      <c r="P4" s="226"/>
    </row>
    <row r="5" spans="1:24" ht="12.75" customHeight="1">
      <c r="A5" s="225"/>
      <c r="B5" s="2"/>
      <c r="C5" s="347"/>
      <c r="D5" s="339"/>
      <c r="E5" s="339"/>
      <c r="F5" s="348"/>
      <c r="G5" s="348"/>
      <c r="H5" s="349"/>
      <c r="I5" s="349"/>
      <c r="J5" s="349"/>
      <c r="K5" s="349"/>
      <c r="L5" s="345"/>
      <c r="M5" s="345"/>
      <c r="N5" s="341"/>
      <c r="O5" s="342"/>
      <c r="P5" s="226"/>
      <c r="X5" s="112">
        <f>IF(AND(G12="G",G13="G"),X7,0)</f>
        <v>0</v>
      </c>
    </row>
    <row r="6" spans="1:37" ht="12.75" customHeight="1">
      <c r="A6" s="225"/>
      <c r="B6" s="2"/>
      <c r="C6" s="347"/>
      <c r="D6" s="339"/>
      <c r="E6" s="339"/>
      <c r="F6" s="344" t="s">
        <v>226</v>
      </c>
      <c r="G6" s="348"/>
      <c r="H6" s="349"/>
      <c r="I6" s="349"/>
      <c r="J6" s="349"/>
      <c r="K6" s="349"/>
      <c r="L6" s="345"/>
      <c r="M6" s="345"/>
      <c r="N6" s="350"/>
      <c r="O6" s="351"/>
      <c r="P6" s="226"/>
      <c r="AK6" s="181" t="s">
        <v>199</v>
      </c>
    </row>
    <row r="7" spans="1:24" ht="12">
      <c r="A7" s="225"/>
      <c r="B7" s="2"/>
      <c r="C7" s="352"/>
      <c r="D7" s="353"/>
      <c r="E7" s="354"/>
      <c r="F7" s="355"/>
      <c r="G7" s="353"/>
      <c r="H7" s="354"/>
      <c r="I7" s="356"/>
      <c r="J7" s="356"/>
      <c r="K7" s="356"/>
      <c r="L7" s="354"/>
      <c r="M7" s="341"/>
      <c r="N7" s="341"/>
      <c r="O7" s="342"/>
      <c r="P7" s="226"/>
      <c r="X7" s="1" t="s">
        <v>0</v>
      </c>
    </row>
    <row r="8" spans="1:44" ht="15" customHeight="1" thickBot="1">
      <c r="A8" s="225"/>
      <c r="B8" s="2"/>
      <c r="C8" s="357"/>
      <c r="D8" s="358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26"/>
      <c r="AK8" s="182" t="s">
        <v>1</v>
      </c>
      <c r="AL8" s="182" t="s">
        <v>2</v>
      </c>
      <c r="AM8" s="182" t="s">
        <v>3</v>
      </c>
      <c r="AN8" s="183" t="s">
        <v>4</v>
      </c>
      <c r="AO8" s="183" t="s">
        <v>5</v>
      </c>
      <c r="AP8" s="183" t="s">
        <v>6</v>
      </c>
      <c r="AQ8" s="183" t="s">
        <v>200</v>
      </c>
      <c r="AR8"/>
    </row>
    <row r="9" spans="1:44" ht="13.5" thickBot="1">
      <c r="A9" s="225"/>
      <c r="B9" s="2"/>
      <c r="C9" s="238" t="s">
        <v>7</v>
      </c>
      <c r="D9" s="26"/>
      <c r="E9" s="331"/>
      <c r="F9" s="331"/>
      <c r="G9" s="331"/>
      <c r="H9" s="332"/>
      <c r="I9" s="236" t="s">
        <v>8</v>
      </c>
      <c r="J9" s="316"/>
      <c r="K9" s="316"/>
      <c r="L9" s="317"/>
      <c r="M9" s="237" t="s">
        <v>9</v>
      </c>
      <c r="N9" s="285">
        <v>66</v>
      </c>
      <c r="O9" s="169"/>
      <c r="P9" s="226"/>
      <c r="AK9" s="3">
        <v>1</v>
      </c>
      <c r="AL9" s="3" t="s">
        <v>10</v>
      </c>
      <c r="AM9" s="3" t="s">
        <v>11</v>
      </c>
      <c r="AN9" s="186">
        <f aca="true" t="shared" si="0" ref="AN9:AN39">3.14/4*(AQ9/10)^2</f>
        <v>0.024112113066</v>
      </c>
      <c r="AO9">
        <f aca="true" t="shared" si="1" ref="AO9:AO15">AN9/10</f>
        <v>0.0024112113066</v>
      </c>
      <c r="AP9">
        <v>0.035</v>
      </c>
      <c r="AQ9" s="4">
        <f>25.4*1/8-(25.4*2*0.028)</f>
        <v>1.7526</v>
      </c>
      <c r="AR9"/>
    </row>
    <row r="10" spans="1:44" ht="13.5" thickBot="1">
      <c r="A10" s="225"/>
      <c r="B10" s="2"/>
      <c r="C10" s="28" t="s">
        <v>12</v>
      </c>
      <c r="D10" s="45"/>
      <c r="E10" s="45"/>
      <c r="F10" s="46"/>
      <c r="G10" s="314" t="s">
        <v>13</v>
      </c>
      <c r="H10" s="48" t="s">
        <v>14</v>
      </c>
      <c r="I10" s="47" t="s">
        <v>15</v>
      </c>
      <c r="J10" s="48" t="s">
        <v>16</v>
      </c>
      <c r="K10" s="48" t="s">
        <v>17</v>
      </c>
      <c r="L10" s="48" t="s">
        <v>18</v>
      </c>
      <c r="M10" s="304" t="s">
        <v>19</v>
      </c>
      <c r="N10" s="313"/>
      <c r="O10" s="72" t="s">
        <v>20</v>
      </c>
      <c r="P10" s="226"/>
      <c r="S10" s="88" t="s">
        <v>21</v>
      </c>
      <c r="T10" s="89"/>
      <c r="U10" s="89"/>
      <c r="V10" s="90"/>
      <c r="X10" s="13" t="s">
        <v>22</v>
      </c>
      <c r="Y10" s="14"/>
      <c r="Z10" s="102"/>
      <c r="AA10" s="102"/>
      <c r="AB10" s="172" t="s">
        <v>195</v>
      </c>
      <c r="AC10" s="102"/>
      <c r="AD10" s="102"/>
      <c r="AE10" s="103"/>
      <c r="AK10" s="3">
        <v>2</v>
      </c>
      <c r="AL10" s="3" t="s">
        <v>10</v>
      </c>
      <c r="AM10" s="3" t="s">
        <v>23</v>
      </c>
      <c r="AN10" s="186">
        <f t="shared" si="0"/>
        <v>0.015320130649999998</v>
      </c>
      <c r="AO10">
        <f t="shared" si="1"/>
        <v>0.0015320130649999998</v>
      </c>
      <c r="AP10">
        <v>0.036</v>
      </c>
      <c r="AQ10" s="4">
        <f>25.4*1/8-(25.4*2*0.035)</f>
        <v>1.3969999999999998</v>
      </c>
      <c r="AR10"/>
    </row>
    <row r="11" spans="1:44" ht="13.5" thickBot="1">
      <c r="A11" s="225"/>
      <c r="B11" s="2"/>
      <c r="C11" s="29" t="s">
        <v>24</v>
      </c>
      <c r="D11" s="26"/>
      <c r="E11" s="26"/>
      <c r="F11" s="27"/>
      <c r="G11" s="315"/>
      <c r="H11" s="49" t="s">
        <v>25</v>
      </c>
      <c r="I11" s="50" t="s">
        <v>26</v>
      </c>
      <c r="J11" s="49" t="s">
        <v>27</v>
      </c>
      <c r="K11" s="49" t="s">
        <v>28</v>
      </c>
      <c r="L11" s="49" t="s">
        <v>29</v>
      </c>
      <c r="M11" s="51" t="s">
        <v>30</v>
      </c>
      <c r="N11" s="51" t="s">
        <v>31</v>
      </c>
      <c r="O11" s="290">
        <v>1</v>
      </c>
      <c r="P11" s="226"/>
      <c r="S11" s="91" t="s">
        <v>32</v>
      </c>
      <c r="T11" s="92" t="s">
        <v>29</v>
      </c>
      <c r="U11" s="93"/>
      <c r="V11" s="94"/>
      <c r="X11" s="15">
        <f>IF(AND(G12="G",G13="g"),1,0)</f>
        <v>0</v>
      </c>
      <c r="Y11" s="16"/>
      <c r="Z11" s="104"/>
      <c r="AA11" s="104"/>
      <c r="AB11" s="104"/>
      <c r="AC11" s="104"/>
      <c r="AD11" s="104"/>
      <c r="AE11" s="105"/>
      <c r="AK11" s="3">
        <v>3</v>
      </c>
      <c r="AL11" s="3" t="s">
        <v>33</v>
      </c>
      <c r="AM11" s="3" t="s">
        <v>11</v>
      </c>
      <c r="AN11" s="186">
        <f t="shared" si="0"/>
        <v>0.19060774781599998</v>
      </c>
      <c r="AO11">
        <f t="shared" si="1"/>
        <v>0.0190607747816</v>
      </c>
      <c r="AP11">
        <v>0.028</v>
      </c>
      <c r="AQ11" s="4">
        <f>25.4*1/4-(25.4*2*0.028)</f>
        <v>4.9276</v>
      </c>
      <c r="AR11"/>
    </row>
    <row r="12" spans="1:44" ht="13.5" thickBot="1">
      <c r="A12" s="57"/>
      <c r="B12" s="2"/>
      <c r="C12" s="321" t="s">
        <v>221</v>
      </c>
      <c r="D12" s="322"/>
      <c r="E12" s="322"/>
      <c r="F12" s="52" t="s">
        <v>35</v>
      </c>
      <c r="G12" s="286" t="s">
        <v>194</v>
      </c>
      <c r="H12" s="287">
        <v>8</v>
      </c>
      <c r="I12" s="288">
        <v>103</v>
      </c>
      <c r="J12" s="289">
        <v>0.8</v>
      </c>
      <c r="K12" s="365" t="str">
        <f>IF(G12="G",S12,"XXX")</f>
        <v>XXX</v>
      </c>
      <c r="L12" s="288"/>
      <c r="M12" s="288">
        <v>2</v>
      </c>
      <c r="N12" s="288"/>
      <c r="O12" s="72" t="s">
        <v>36</v>
      </c>
      <c r="P12" s="226"/>
      <c r="S12" s="95">
        <f>11.8*$N$9*((H12*0.98)+1.033)/((I12+273)*T12)</f>
        <v>18.378437234042554</v>
      </c>
      <c r="T12" s="93">
        <f>IF(L12=0,1,L12)</f>
        <v>1</v>
      </c>
      <c r="U12" s="93"/>
      <c r="V12" s="94"/>
      <c r="X12" s="17" t="s">
        <v>37</v>
      </c>
      <c r="Y12" s="18"/>
      <c r="Z12" s="106"/>
      <c r="AA12" s="106"/>
      <c r="AB12" s="106"/>
      <c r="AC12" s="106">
        <f>(H13*N20*(I12+273))/((273+I13)*H12)</f>
        <v>7.207667731629393</v>
      </c>
      <c r="AD12" s="106">
        <f>AC12*1000</f>
        <v>7207.6677316293935</v>
      </c>
      <c r="AE12" s="107" t="s">
        <v>38</v>
      </c>
      <c r="AK12" s="3">
        <v>4</v>
      </c>
      <c r="AL12" s="3" t="s">
        <v>33</v>
      </c>
      <c r="AM12" s="3" t="s">
        <v>23</v>
      </c>
      <c r="AN12" s="186">
        <f t="shared" si="0"/>
        <v>0.16408999439999997</v>
      </c>
      <c r="AO12">
        <f t="shared" si="1"/>
        <v>0.016408999439999995</v>
      </c>
      <c r="AP12">
        <v>0.0285</v>
      </c>
      <c r="AQ12" s="4">
        <f>25.4*1/4-(25.4*2*0.035)</f>
        <v>4.571999999999999</v>
      </c>
      <c r="AR12"/>
    </row>
    <row r="13" spans="1:44" ht="13.5" thickBot="1">
      <c r="A13" s="57"/>
      <c r="B13" s="2"/>
      <c r="C13" s="321" t="s">
        <v>222</v>
      </c>
      <c r="D13" s="322"/>
      <c r="E13" s="322"/>
      <c r="F13" s="52" t="s">
        <v>40</v>
      </c>
      <c r="G13" s="209" t="s">
        <v>194</v>
      </c>
      <c r="H13" s="210">
        <v>8</v>
      </c>
      <c r="I13" s="211">
        <v>40</v>
      </c>
      <c r="J13" s="212">
        <v>0.8</v>
      </c>
      <c r="K13" s="141" t="str">
        <f>IF(G13="G",S13,"XXX")</f>
        <v>XXX</v>
      </c>
      <c r="L13" s="211">
        <v>0.98</v>
      </c>
      <c r="M13" s="211">
        <v>2</v>
      </c>
      <c r="N13" s="213"/>
      <c r="O13" s="73"/>
      <c r="P13" s="226"/>
      <c r="S13" s="95">
        <f>11.8*$N$9*((H13*0.98)+1.033)/((I13+273)*T13)</f>
        <v>22.528175001630046</v>
      </c>
      <c r="T13" s="93">
        <f>IF(L13=0,1,L13)</f>
        <v>0.98</v>
      </c>
      <c r="U13" s="93"/>
      <c r="V13" s="94">
        <f>IF(G13="l",J13,K13)</f>
        <v>0.8</v>
      </c>
      <c r="X13" s="17" t="s">
        <v>41</v>
      </c>
      <c r="Y13" s="99">
        <v>4</v>
      </c>
      <c r="Z13" s="104"/>
      <c r="AA13" s="108">
        <f>VLOOKUP($Y13,$AK$9:$AP$51,4)</f>
        <v>0.16408999439999997</v>
      </c>
      <c r="AB13" s="104"/>
      <c r="AC13" s="104"/>
      <c r="AD13" s="104"/>
      <c r="AE13" s="105"/>
      <c r="AK13" s="3">
        <v>5</v>
      </c>
      <c r="AL13" s="3" t="s">
        <v>33</v>
      </c>
      <c r="AM13" s="3" t="s">
        <v>42</v>
      </c>
      <c r="AN13" s="186">
        <f t="shared" si="0"/>
        <v>0.11701034662399999</v>
      </c>
      <c r="AO13">
        <f t="shared" si="1"/>
        <v>0.011701034662399998</v>
      </c>
      <c r="AP13">
        <v>0.03</v>
      </c>
      <c r="AQ13" s="4">
        <f>25.4*1/4-(25.4*2*0.049)</f>
        <v>3.8608</v>
      </c>
      <c r="AR13"/>
    </row>
    <row r="14" spans="1:44" ht="13.5" thickBot="1">
      <c r="A14" s="225"/>
      <c r="B14" s="2"/>
      <c r="C14" s="321" t="s">
        <v>223</v>
      </c>
      <c r="D14" s="322"/>
      <c r="E14" s="322"/>
      <c r="F14" s="52" t="s">
        <v>44</v>
      </c>
      <c r="G14" s="286" t="s">
        <v>206</v>
      </c>
      <c r="H14" s="300">
        <f>AD35</f>
        <v>0.9373846130465459</v>
      </c>
      <c r="I14" s="288">
        <v>80</v>
      </c>
      <c r="J14" s="289">
        <v>0.8</v>
      </c>
      <c r="K14" s="140">
        <f>IF(G14="G",S14,"XXX")</f>
        <v>4.393637144903269</v>
      </c>
      <c r="L14" s="288">
        <v>0.98</v>
      </c>
      <c r="M14" s="211">
        <v>2</v>
      </c>
      <c r="N14" s="288">
        <v>0.015</v>
      </c>
      <c r="O14" s="276">
        <f>O11*0.9807</f>
        <v>0.9807</v>
      </c>
      <c r="P14" s="226"/>
      <c r="S14" s="95">
        <f>11.8*$N$9*((H14*0.98)+1.033)/((I14+273)*T14)</f>
        <v>4.393637144903269</v>
      </c>
      <c r="T14" s="93">
        <f>IF(L14=0,1,L14)</f>
        <v>0.98</v>
      </c>
      <c r="U14" s="93"/>
      <c r="V14" s="94"/>
      <c r="X14" s="17" t="s">
        <v>45</v>
      </c>
      <c r="Y14" s="99">
        <v>2</v>
      </c>
      <c r="Z14" s="109" t="s">
        <v>46</v>
      </c>
      <c r="AA14" s="106">
        <f>AA13*Y14</f>
        <v>0.32817998879999993</v>
      </c>
      <c r="AB14" s="107"/>
      <c r="AC14" s="104"/>
      <c r="AD14" s="104"/>
      <c r="AE14" s="105"/>
      <c r="AK14" s="3">
        <v>6</v>
      </c>
      <c r="AL14" s="3" t="s">
        <v>47</v>
      </c>
      <c r="AM14" s="3" t="s">
        <v>23</v>
      </c>
      <c r="AN14" s="186">
        <f t="shared" si="0"/>
        <v>0.4711256706499998</v>
      </c>
      <c r="AO14">
        <f t="shared" si="1"/>
        <v>0.04711256706499998</v>
      </c>
      <c r="AP14">
        <v>0.023</v>
      </c>
      <c r="AQ14" s="4">
        <f>25.4*3/8-(25.4*2*0.035)</f>
        <v>7.746999999999998</v>
      </c>
      <c r="AR14"/>
    </row>
    <row r="15" spans="1:44" ht="13.5" thickBot="1">
      <c r="A15" s="225"/>
      <c r="B15" s="2"/>
      <c r="C15" s="323" t="s">
        <v>224</v>
      </c>
      <c r="D15" s="324"/>
      <c r="E15" s="324"/>
      <c r="F15" s="52" t="s">
        <v>49</v>
      </c>
      <c r="G15" s="286" t="s">
        <v>206</v>
      </c>
      <c r="H15" s="293">
        <v>2</v>
      </c>
      <c r="I15" s="291">
        <v>80</v>
      </c>
      <c r="J15" s="292">
        <v>0.8</v>
      </c>
      <c r="K15" s="142"/>
      <c r="L15" s="291"/>
      <c r="M15" s="211"/>
      <c r="N15" s="288"/>
      <c r="O15" s="74" t="s">
        <v>50</v>
      </c>
      <c r="P15" s="226"/>
      <c r="S15" s="95">
        <f>11.8*$N$9*((H15*0.98)+1.033)/((I15+273)*T15)</f>
        <v>6.603253257790369</v>
      </c>
      <c r="T15" s="93">
        <f>IF(L15=0,1,L15)</f>
        <v>1</v>
      </c>
      <c r="U15" s="93"/>
      <c r="V15" s="94"/>
      <c r="X15" s="15"/>
      <c r="Y15" s="16"/>
      <c r="Z15" s="104"/>
      <c r="AA15" s="104"/>
      <c r="AB15" s="104"/>
      <c r="AC15" s="104"/>
      <c r="AD15" s="104"/>
      <c r="AE15" s="105"/>
      <c r="AK15" s="3">
        <v>7</v>
      </c>
      <c r="AL15" s="3" t="s">
        <v>47</v>
      </c>
      <c r="AM15" s="3" t="s">
        <v>42</v>
      </c>
      <c r="AN15" s="186">
        <f t="shared" si="0"/>
        <v>0.3885944808739999</v>
      </c>
      <c r="AO15">
        <f t="shared" si="1"/>
        <v>0.03885944808739999</v>
      </c>
      <c r="AP15">
        <v>0.0235</v>
      </c>
      <c r="AQ15" s="4">
        <f>25.4*3/8-(25.4*2*0.049)</f>
        <v>7.035799999999998</v>
      </c>
      <c r="AR15"/>
    </row>
    <row r="16" spans="1:44" ht="13.5" thickBot="1">
      <c r="A16" s="225"/>
      <c r="B16" s="2"/>
      <c r="C16" s="328" t="s">
        <v>51</v>
      </c>
      <c r="D16" s="329"/>
      <c r="E16" s="329"/>
      <c r="F16" s="329"/>
      <c r="G16" s="330"/>
      <c r="H16" s="150"/>
      <c r="I16" s="151"/>
      <c r="J16" s="151" t="s">
        <v>52</v>
      </c>
      <c r="K16" s="143" t="s">
        <v>53</v>
      </c>
      <c r="L16" s="154" t="s">
        <v>54</v>
      </c>
      <c r="M16" s="325" t="s">
        <v>203</v>
      </c>
      <c r="N16" s="326"/>
      <c r="O16" s="327"/>
      <c r="P16" s="226"/>
      <c r="S16" s="96"/>
      <c r="T16" s="97"/>
      <c r="U16" s="97"/>
      <c r="V16" s="98"/>
      <c r="X16" s="13" t="s">
        <v>55</v>
      </c>
      <c r="Y16" s="100">
        <v>4</v>
      </c>
      <c r="Z16" s="109" t="s">
        <v>56</v>
      </c>
      <c r="AA16" s="110">
        <f>(3.14*((Y16/10)^2)/4*(Y17/10))</f>
        <v>3.7680000000000007</v>
      </c>
      <c r="AB16" s="107" t="s">
        <v>57</v>
      </c>
      <c r="AC16" s="104"/>
      <c r="AD16" s="104"/>
      <c r="AE16" s="105"/>
      <c r="AK16" s="3">
        <v>8</v>
      </c>
      <c r="AL16" s="3" t="s">
        <v>64</v>
      </c>
      <c r="AM16" s="3" t="s">
        <v>23</v>
      </c>
      <c r="AN16" s="186">
        <f t="shared" si="0"/>
        <v>0.9364271593999998</v>
      </c>
      <c r="AO16">
        <f aca="true" t="shared" si="2" ref="AO16:AO38">AN16/10</f>
        <v>0.09364271593999998</v>
      </c>
      <c r="AP16">
        <v>0.0215</v>
      </c>
      <c r="AQ16" s="4">
        <f>25.4*1/2-(25.4*2*0.035)</f>
        <v>10.921999999999999</v>
      </c>
      <c r="AR16"/>
    </row>
    <row r="17" spans="1:44" ht="12.75">
      <c r="A17" s="225"/>
      <c r="B17" s="2"/>
      <c r="C17" s="146" t="s">
        <v>219</v>
      </c>
      <c r="D17" s="147"/>
      <c r="E17" s="147"/>
      <c r="F17" s="309" t="s">
        <v>58</v>
      </c>
      <c r="G17" s="310"/>
      <c r="H17" s="278">
        <v>40</v>
      </c>
      <c r="I17" s="152" t="s">
        <v>59</v>
      </c>
      <c r="J17" s="280">
        <v>9</v>
      </c>
      <c r="K17" s="144" t="str">
        <f>VLOOKUP($J17,$AK$9:$AP$52,2)</f>
        <v>1/2"</v>
      </c>
      <c r="L17" s="155" t="str">
        <f>VLOOKUP($J17,$AK$9:$AP$52,3)</f>
        <v>0.049"</v>
      </c>
      <c r="M17" s="53" t="s">
        <v>60</v>
      </c>
      <c r="N17" s="180" t="s">
        <v>61</v>
      </c>
      <c r="O17" s="54" t="s">
        <v>62</v>
      </c>
      <c r="P17" s="226"/>
      <c r="X17" s="19" t="s">
        <v>63</v>
      </c>
      <c r="Y17" s="101">
        <v>300</v>
      </c>
      <c r="Z17" s="104"/>
      <c r="AA17" s="104"/>
      <c r="AB17" s="104"/>
      <c r="AC17" s="104"/>
      <c r="AD17" s="104"/>
      <c r="AE17" s="105"/>
      <c r="AK17" s="3">
        <v>9</v>
      </c>
      <c r="AL17" s="3" t="s">
        <v>64</v>
      </c>
      <c r="AM17" s="3" t="s">
        <v>42</v>
      </c>
      <c r="AN17" s="186">
        <f t="shared" si="0"/>
        <v>0.818444427624</v>
      </c>
      <c r="AO17">
        <f t="shared" si="2"/>
        <v>0.08184444276240001</v>
      </c>
      <c r="AP17">
        <v>0.022</v>
      </c>
      <c r="AQ17" s="4">
        <f>25.4*1/2-(25.4*2*0.049)</f>
        <v>10.210799999999999</v>
      </c>
      <c r="AR17"/>
    </row>
    <row r="18" spans="1:44" ht="13.5" thickBot="1">
      <c r="A18" s="225"/>
      <c r="B18" s="2"/>
      <c r="C18" s="148" t="s">
        <v>220</v>
      </c>
      <c r="D18" s="149"/>
      <c r="E18" s="149"/>
      <c r="F18" s="311" t="s">
        <v>58</v>
      </c>
      <c r="G18" s="312"/>
      <c r="H18" s="279">
        <v>3</v>
      </c>
      <c r="I18" s="153" t="s">
        <v>59</v>
      </c>
      <c r="J18" s="281">
        <v>4</v>
      </c>
      <c r="K18" s="145" t="str">
        <f>VLOOKUP($J18,$AK$9:$AP$52,2)</f>
        <v>1/4"</v>
      </c>
      <c r="L18" s="156" t="str">
        <f>VLOOKUP($J18,$AK$9:$AP$52,3)</f>
        <v>0.035"</v>
      </c>
      <c r="M18" s="282">
        <v>4500</v>
      </c>
      <c r="N18" s="283">
        <v>5000</v>
      </c>
      <c r="O18" s="284">
        <v>6000</v>
      </c>
      <c r="P18" s="226"/>
      <c r="X18" s="17" t="s">
        <v>65</v>
      </c>
      <c r="Y18" s="18"/>
      <c r="Z18" s="106"/>
      <c r="AA18" s="107">
        <v>3</v>
      </c>
      <c r="AB18" s="104"/>
      <c r="AC18" s="104"/>
      <c r="AD18" s="104"/>
      <c r="AE18" s="105"/>
      <c r="AK18" s="3">
        <v>10</v>
      </c>
      <c r="AL18" s="3" t="s">
        <v>64</v>
      </c>
      <c r="AM18" s="3" t="s">
        <v>68</v>
      </c>
      <c r="AN18" s="186">
        <f t="shared" si="0"/>
        <v>0.6933308714</v>
      </c>
      <c r="AO18">
        <f t="shared" si="2"/>
        <v>0.06933308714</v>
      </c>
      <c r="AP18">
        <v>0.0225</v>
      </c>
      <c r="AQ18" s="4">
        <f>25.4*1/2-(25.4*2*0.065)</f>
        <v>9.398</v>
      </c>
      <c r="AR18"/>
    </row>
    <row r="19" spans="1:44" ht="13.5" thickBot="1">
      <c r="A19" s="225"/>
      <c r="B19" s="2"/>
      <c r="C19" s="304" t="s">
        <v>66</v>
      </c>
      <c r="D19" s="305"/>
      <c r="E19" s="305"/>
      <c r="F19" s="305"/>
      <c r="G19" s="305"/>
      <c r="H19" s="305"/>
      <c r="I19" s="305"/>
      <c r="J19" s="306" t="s">
        <v>193</v>
      </c>
      <c r="K19" s="307"/>
      <c r="L19" s="307"/>
      <c r="M19" s="307"/>
      <c r="N19" s="307"/>
      <c r="O19" s="308"/>
      <c r="P19" s="226"/>
      <c r="X19" s="17" t="s">
        <v>67</v>
      </c>
      <c r="Y19" s="18"/>
      <c r="Z19" s="106"/>
      <c r="AA19" s="107">
        <f>AA14+AA18+AA16</f>
        <v>7.096179988800001</v>
      </c>
      <c r="AB19" s="104"/>
      <c r="AC19" s="104"/>
      <c r="AD19" s="104"/>
      <c r="AE19" s="105"/>
      <c r="AK19" s="3">
        <v>11</v>
      </c>
      <c r="AL19" s="3" t="s">
        <v>71</v>
      </c>
      <c r="AM19" s="3" t="s">
        <v>42</v>
      </c>
      <c r="AN19" s="186">
        <f t="shared" si="0"/>
        <v>1.4065601868739999</v>
      </c>
      <c r="AO19">
        <f t="shared" si="2"/>
        <v>0.1406560186874</v>
      </c>
      <c r="AP19">
        <v>0.021</v>
      </c>
      <c r="AQ19" s="4">
        <f>25.4*5/8-(25.4*2*0.049)</f>
        <v>13.3858</v>
      </c>
      <c r="AR19">
        <f>SQRT(4*AN19*100/3.1416)</f>
        <v>13.382390907877985</v>
      </c>
    </row>
    <row r="20" spans="1:44" ht="13.5" thickBot="1">
      <c r="A20" s="225"/>
      <c r="B20" s="2"/>
      <c r="C20" s="55"/>
      <c r="D20" s="56"/>
      <c r="E20" s="56"/>
      <c r="F20" s="56"/>
      <c r="G20" s="56"/>
      <c r="H20" s="56"/>
      <c r="I20" s="167"/>
      <c r="J20" s="115" t="str">
        <f>IF(N20&lt;I24," Caudal seleccionado lazo rápido","       VALOR INCORRECTO")</f>
        <v> Caudal seleccionado lazo rápido</v>
      </c>
      <c r="K20" s="25"/>
      <c r="L20" s="25"/>
      <c r="M20" s="25"/>
      <c r="N20" s="294">
        <v>6</v>
      </c>
      <c r="O20" s="65" t="s">
        <v>73</v>
      </c>
      <c r="P20" s="226"/>
      <c r="X20" s="17" t="s">
        <v>69</v>
      </c>
      <c r="Y20" s="18"/>
      <c r="Z20" s="106"/>
      <c r="AA20" s="106">
        <f>(AA19/AD12)*60</f>
        <v>0.05907192384293618</v>
      </c>
      <c r="AB20" s="107" t="s">
        <v>70</v>
      </c>
      <c r="AC20" s="112">
        <f>IF(AND(G12="G",G13="G"),AA20,0)</f>
        <v>0</v>
      </c>
      <c r="AD20" s="173" t="s">
        <v>196</v>
      </c>
      <c r="AE20" s="111"/>
      <c r="AK20" s="3">
        <v>12</v>
      </c>
      <c r="AL20" s="3" t="s">
        <v>75</v>
      </c>
      <c r="AM20" s="3" t="s">
        <v>23</v>
      </c>
      <c r="AN20" s="186">
        <f t="shared" si="0"/>
        <v>2.3418275743999994</v>
      </c>
      <c r="AO20">
        <f t="shared" si="2"/>
        <v>0.23418275743999994</v>
      </c>
      <c r="AP20">
        <v>0.019</v>
      </c>
      <c r="AQ20" s="4">
        <f>25.4*3/4-(25.4*2*0.035)</f>
        <v>17.272</v>
      </c>
      <c r="AR20"/>
    </row>
    <row r="21" spans="1:44" ht="12.75">
      <c r="A21" s="225"/>
      <c r="B21" s="2"/>
      <c r="C21" s="57" t="s">
        <v>216</v>
      </c>
      <c r="D21" s="25"/>
      <c r="E21" s="25"/>
      <c r="F21" s="25"/>
      <c r="G21" s="25"/>
      <c r="H21" s="25" t="s">
        <v>72</v>
      </c>
      <c r="I21" s="69">
        <f>T33</f>
        <v>5907.675547844034</v>
      </c>
      <c r="J21" s="58" t="s">
        <v>212</v>
      </c>
      <c r="K21" s="25"/>
      <c r="L21" s="25"/>
      <c r="M21" s="25"/>
      <c r="N21" s="168">
        <f>V35</f>
        <v>7.5977162677590675</v>
      </c>
      <c r="O21" s="65" t="s">
        <v>176</v>
      </c>
      <c r="P21" s="226"/>
      <c r="S21" s="251" t="s">
        <v>74</v>
      </c>
      <c r="T21" s="252"/>
      <c r="U21" s="252"/>
      <c r="V21" s="253"/>
      <c r="W21" s="239"/>
      <c r="X21" s="239"/>
      <c r="Y21" s="239"/>
      <c r="Z21" s="239"/>
      <c r="AA21" s="240"/>
      <c r="AB21" s="240"/>
      <c r="AC21" s="240"/>
      <c r="AD21" s="240"/>
      <c r="AE21" s="240"/>
      <c r="AF21" s="240"/>
      <c r="AG21" s="240"/>
      <c r="AH21" s="240"/>
      <c r="AI21" s="273"/>
      <c r="AJ21" s="273"/>
      <c r="AK21" s="3">
        <v>13</v>
      </c>
      <c r="AL21" s="3" t="s">
        <v>75</v>
      </c>
      <c r="AM21" s="3" t="s">
        <v>68</v>
      </c>
      <c r="AN21" s="186">
        <f t="shared" si="0"/>
        <v>1.9467961063999992</v>
      </c>
      <c r="AO21">
        <f t="shared" si="2"/>
        <v>0.19467961063999992</v>
      </c>
      <c r="AP21">
        <v>0.018</v>
      </c>
      <c r="AQ21" s="4">
        <f>25.4*3/4-(25.4*2*0.065)</f>
        <v>15.747999999999998</v>
      </c>
      <c r="AR21"/>
    </row>
    <row r="22" spans="1:44" ht="13.5" thickBot="1">
      <c r="A22" s="225"/>
      <c r="B22" s="2"/>
      <c r="C22" s="57" t="s">
        <v>213</v>
      </c>
      <c r="D22" s="25"/>
      <c r="E22" s="25"/>
      <c r="F22" s="25"/>
      <c r="G22" s="25"/>
      <c r="H22" s="25" t="s">
        <v>76</v>
      </c>
      <c r="I22" s="68">
        <f>T36</f>
        <v>1.4464281809074788</v>
      </c>
      <c r="J22" s="58" t="s">
        <v>213</v>
      </c>
      <c r="K22" s="25"/>
      <c r="L22" s="25"/>
      <c r="M22" s="25"/>
      <c r="N22" s="70">
        <f>T39</f>
        <v>1.2218300549776704</v>
      </c>
      <c r="O22" s="65" t="s">
        <v>76</v>
      </c>
      <c r="P22" s="226"/>
      <c r="S22" s="254" t="s">
        <v>77</v>
      </c>
      <c r="T22" s="255">
        <f>N13*T27/1000</f>
        <v>0</v>
      </c>
      <c r="U22" s="256" t="s">
        <v>30</v>
      </c>
      <c r="V22" s="257">
        <f>IF(M13=0,T22,M13)</f>
        <v>2</v>
      </c>
      <c r="W22" s="241"/>
      <c r="X22" s="241"/>
      <c r="Y22" s="241"/>
      <c r="Z22" s="241"/>
      <c r="AA22" s="240"/>
      <c r="AB22" s="240"/>
      <c r="AC22" s="240"/>
      <c r="AD22" s="240"/>
      <c r="AE22" s="240"/>
      <c r="AF22" s="240"/>
      <c r="AG22" s="240"/>
      <c r="AH22" s="240"/>
      <c r="AI22" s="273"/>
      <c r="AJ22" s="273"/>
      <c r="AK22" s="3">
        <v>14</v>
      </c>
      <c r="AL22" s="3" t="s">
        <v>81</v>
      </c>
      <c r="AM22" s="3" t="s">
        <v>68</v>
      </c>
      <c r="AN22" s="186">
        <f t="shared" si="0"/>
        <v>3.8333245914</v>
      </c>
      <c r="AO22">
        <f t="shared" si="2"/>
        <v>0.38333245913999997</v>
      </c>
      <c r="AP22">
        <v>0.0238</v>
      </c>
      <c r="AQ22" s="4">
        <f>25.4-(25.4*2*0.065)</f>
        <v>22.098</v>
      </c>
      <c r="AR22"/>
    </row>
    <row r="23" spans="1:44" ht="13.5" thickBot="1">
      <c r="A23" s="225"/>
      <c r="B23" s="2"/>
      <c r="C23" s="57" t="s">
        <v>217</v>
      </c>
      <c r="D23" s="25"/>
      <c r="E23" s="25"/>
      <c r="F23" s="25"/>
      <c r="G23" s="25"/>
      <c r="H23" s="25" t="s">
        <v>78</v>
      </c>
      <c r="I23" s="67">
        <f>H17/I22</f>
        <v>27.65432845404345</v>
      </c>
      <c r="J23" s="174" t="s">
        <v>214</v>
      </c>
      <c r="K23" s="25"/>
      <c r="L23" s="25"/>
      <c r="M23" s="25"/>
      <c r="N23" s="66">
        <f>H17/N22</f>
        <v>32.73777710496</v>
      </c>
      <c r="O23" s="65" t="s">
        <v>70</v>
      </c>
      <c r="P23" s="226"/>
      <c r="S23" s="254" t="s">
        <v>79</v>
      </c>
      <c r="T23" s="258">
        <f>VLOOKUP($J17,$AK$9:$AQ$51,6)</f>
        <v>0.022</v>
      </c>
      <c r="U23" s="259" t="s">
        <v>80</v>
      </c>
      <c r="V23" s="260"/>
      <c r="W23" s="241"/>
      <c r="X23" s="241"/>
      <c r="Y23" s="241"/>
      <c r="Z23" s="241"/>
      <c r="AA23" s="240"/>
      <c r="AB23" s="240"/>
      <c r="AC23" s="240"/>
      <c r="AD23" s="240"/>
      <c r="AE23" s="240"/>
      <c r="AF23" s="240"/>
      <c r="AG23" s="240"/>
      <c r="AH23" s="240"/>
      <c r="AI23" s="273"/>
      <c r="AJ23" s="273"/>
      <c r="AK23" s="3">
        <v>15</v>
      </c>
      <c r="AL23" s="3" t="s">
        <v>81</v>
      </c>
      <c r="AM23" s="3" t="s">
        <v>84</v>
      </c>
      <c r="AN23" s="186">
        <f t="shared" si="0"/>
        <v>3.3228223866</v>
      </c>
      <c r="AO23">
        <f t="shared" si="2"/>
        <v>0.33228223866</v>
      </c>
      <c r="AP23">
        <v>0.024</v>
      </c>
      <c r="AQ23" s="4">
        <f>25.4-(25.4*2*0.095)</f>
        <v>20.573999999999998</v>
      </c>
      <c r="AR23"/>
    </row>
    <row r="24" spans="1:44" ht="13.5" thickBot="1">
      <c r="A24" s="225"/>
      <c r="B24" s="2"/>
      <c r="C24" s="59" t="s">
        <v>218</v>
      </c>
      <c r="D24" s="60"/>
      <c r="E24" s="60"/>
      <c r="F24" s="60"/>
      <c r="G24" s="60"/>
      <c r="H24" s="60" t="s">
        <v>73</v>
      </c>
      <c r="I24" s="66">
        <f>T37</f>
        <v>7.102926507732271</v>
      </c>
      <c r="J24" s="61" t="s">
        <v>215</v>
      </c>
      <c r="K24" s="62"/>
      <c r="L24" s="62"/>
      <c r="M24" s="62"/>
      <c r="N24" s="71">
        <f>T40</f>
        <v>4990.344930146398</v>
      </c>
      <c r="O24" s="63"/>
      <c r="P24" s="226"/>
      <c r="S24" s="261" t="s">
        <v>82</v>
      </c>
      <c r="T24" s="258">
        <f>VLOOKUP($J17,$AK$9:$AQ$51,4)</f>
        <v>0.818444427624</v>
      </c>
      <c r="U24" s="262" t="s">
        <v>83</v>
      </c>
      <c r="V24" s="260"/>
      <c r="W24" s="241"/>
      <c r="X24" s="241"/>
      <c r="Y24" s="241" t="s">
        <v>177</v>
      </c>
      <c r="Z24" s="241"/>
      <c r="AA24" s="240"/>
      <c r="AB24" s="240"/>
      <c r="AC24" s="240"/>
      <c r="AD24" s="240"/>
      <c r="AE24" s="240"/>
      <c r="AF24" s="240"/>
      <c r="AG24" s="240"/>
      <c r="AH24" s="240"/>
      <c r="AI24" s="273"/>
      <c r="AJ24" s="273"/>
      <c r="AK24" s="3">
        <v>16</v>
      </c>
      <c r="AL24" s="3" t="s">
        <v>87</v>
      </c>
      <c r="AM24" s="3" t="s">
        <v>88</v>
      </c>
      <c r="AN24" s="186">
        <f t="shared" si="0"/>
        <v>0.12560000000000002</v>
      </c>
      <c r="AO24">
        <f t="shared" si="2"/>
        <v>0.012560000000000002</v>
      </c>
      <c r="AP24">
        <v>0.03</v>
      </c>
      <c r="AQ24" s="4">
        <v>4</v>
      </c>
      <c r="AR24"/>
    </row>
    <row r="25" spans="1:44" ht="13.5" thickTop="1">
      <c r="A25" s="225"/>
      <c r="B25" s="2"/>
      <c r="C25" s="318" t="s">
        <v>85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20"/>
      <c r="P25" s="226"/>
      <c r="S25" s="254" t="s">
        <v>86</v>
      </c>
      <c r="T25" s="258">
        <f>VLOOKUP($J18,$AK$9:$AQ$51,4)</f>
        <v>0.16408999439999997</v>
      </c>
      <c r="U25" s="259" t="s">
        <v>83</v>
      </c>
      <c r="V25" s="260"/>
      <c r="W25" s="241"/>
      <c r="X25" s="241"/>
      <c r="Y25" s="274" t="s">
        <v>178</v>
      </c>
      <c r="Z25" s="274"/>
      <c r="AA25" s="275"/>
      <c r="AB25" s="275"/>
      <c r="AC25" s="275"/>
      <c r="AD25" s="275"/>
      <c r="AE25" s="240"/>
      <c r="AF25" s="240"/>
      <c r="AG25" s="240"/>
      <c r="AH25" s="240"/>
      <c r="AI25" s="273"/>
      <c r="AJ25" s="273"/>
      <c r="AK25" s="3">
        <v>17</v>
      </c>
      <c r="AL25" s="3" t="s">
        <v>95</v>
      </c>
      <c r="AM25" s="3" t="s">
        <v>88</v>
      </c>
      <c r="AN25" s="186">
        <f t="shared" si="0"/>
        <v>0.2826</v>
      </c>
      <c r="AO25">
        <f t="shared" si="2"/>
        <v>0.02826</v>
      </c>
      <c r="AP25">
        <v>0.0275</v>
      </c>
      <c r="AQ25" s="4">
        <v>6</v>
      </c>
      <c r="AR25"/>
    </row>
    <row r="26" spans="1:44" ht="12.75">
      <c r="A26" s="225"/>
      <c r="B26" s="2"/>
      <c r="C26" s="8" t="s">
        <v>89</v>
      </c>
      <c r="D26" s="7"/>
      <c r="E26" s="7"/>
      <c r="F26" s="5" t="s">
        <v>90</v>
      </c>
      <c r="G26" s="5"/>
      <c r="H26" s="7"/>
      <c r="I26" s="5" t="s">
        <v>91</v>
      </c>
      <c r="J26" s="5"/>
      <c r="K26" s="5" t="s">
        <v>92</v>
      </c>
      <c r="L26" s="7"/>
      <c r="M26" s="123">
        <v>33</v>
      </c>
      <c r="N26" s="119"/>
      <c r="O26" s="124"/>
      <c r="P26" s="226"/>
      <c r="S26" s="254" t="s">
        <v>93</v>
      </c>
      <c r="T26" s="263">
        <f>IF(G13="G",S13,0)</f>
        <v>0</v>
      </c>
      <c r="U26" s="259" t="s">
        <v>94</v>
      </c>
      <c r="V26" s="260"/>
      <c r="W26" s="241"/>
      <c r="X26" s="241"/>
      <c r="Y26" s="241" t="s">
        <v>179</v>
      </c>
      <c r="Z26" s="241"/>
      <c r="AA26" s="240">
        <f>T30</f>
        <v>10.210799999999999</v>
      </c>
      <c r="AB26" s="240"/>
      <c r="AC26" s="240" t="s">
        <v>210</v>
      </c>
      <c r="AD26" s="242">
        <f>AA26^5</f>
        <v>110993.83279070951</v>
      </c>
      <c r="AE26" s="240"/>
      <c r="AF26" s="240"/>
      <c r="AG26" s="240"/>
      <c r="AH26" s="240"/>
      <c r="AI26" s="273"/>
      <c r="AJ26" s="273"/>
      <c r="AK26" s="3">
        <v>18</v>
      </c>
      <c r="AL26" s="3" t="s">
        <v>101</v>
      </c>
      <c r="AM26" s="3" t="s">
        <v>88</v>
      </c>
      <c r="AN26" s="186">
        <f t="shared" si="0"/>
        <v>0.785</v>
      </c>
      <c r="AO26">
        <f t="shared" si="2"/>
        <v>0.0785</v>
      </c>
      <c r="AP26">
        <v>0.022</v>
      </c>
      <c r="AQ26" s="4">
        <v>10</v>
      </c>
      <c r="AR26"/>
    </row>
    <row r="27" spans="1:44" ht="12.75">
      <c r="A27" s="225"/>
      <c r="B27" s="2"/>
      <c r="C27" s="8" t="s">
        <v>96</v>
      </c>
      <c r="D27" s="7"/>
      <c r="E27" s="7"/>
      <c r="F27" s="5" t="s">
        <v>97</v>
      </c>
      <c r="G27" s="5"/>
      <c r="H27" s="7"/>
      <c r="I27" s="5" t="s">
        <v>98</v>
      </c>
      <c r="J27" s="5"/>
      <c r="K27" s="5" t="s">
        <v>99</v>
      </c>
      <c r="L27" s="7"/>
      <c r="M27" s="123">
        <v>34</v>
      </c>
      <c r="N27" s="119"/>
      <c r="O27" s="124"/>
      <c r="P27" s="226"/>
      <c r="S27" s="254" t="s">
        <v>100</v>
      </c>
      <c r="T27" s="255">
        <f>IF(T26&lt;&gt;0,T26,V13*1000)</f>
        <v>800</v>
      </c>
      <c r="U27" s="256" t="s">
        <v>94</v>
      </c>
      <c r="V27" s="260"/>
      <c r="W27" s="241"/>
      <c r="X27" s="241"/>
      <c r="Y27" s="241" t="s">
        <v>180</v>
      </c>
      <c r="Z27" s="241"/>
      <c r="AA27" s="240">
        <f>T31</f>
        <v>4.571999999999999</v>
      </c>
      <c r="AB27" s="240"/>
      <c r="AC27" s="240" t="s">
        <v>211</v>
      </c>
      <c r="AD27" s="242">
        <f>AA27^5</f>
        <v>1997.7038593166758</v>
      </c>
      <c r="AE27" s="240"/>
      <c r="AF27" s="240"/>
      <c r="AG27" s="240"/>
      <c r="AH27" s="240"/>
      <c r="AI27" s="273"/>
      <c r="AJ27" s="273"/>
      <c r="AK27" s="3">
        <v>19</v>
      </c>
      <c r="AL27" s="3" t="s">
        <v>64</v>
      </c>
      <c r="AM27" s="3" t="s">
        <v>107</v>
      </c>
      <c r="AN27" s="186">
        <f t="shared" si="0"/>
        <v>1.9596740000000004</v>
      </c>
      <c r="AO27">
        <f t="shared" si="2"/>
        <v>0.19596740000000004</v>
      </c>
      <c r="AP27">
        <v>0.026</v>
      </c>
      <c r="AQ27" s="4">
        <v>15.8</v>
      </c>
      <c r="AR27">
        <f aca="true" t="shared" si="3" ref="AR27:AR32">SQRT(4*AN27*100/3.1416)</f>
        <v>15.795976060039163</v>
      </c>
    </row>
    <row r="28" spans="1:44" ht="12.75">
      <c r="A28" s="225"/>
      <c r="B28" s="2"/>
      <c r="C28" s="8" t="s">
        <v>102</v>
      </c>
      <c r="D28" s="7"/>
      <c r="E28" s="7"/>
      <c r="F28" s="5" t="s">
        <v>103</v>
      </c>
      <c r="G28" s="5"/>
      <c r="H28" s="7"/>
      <c r="I28" s="5" t="s">
        <v>104</v>
      </c>
      <c r="J28" s="5"/>
      <c r="K28" s="6" t="s">
        <v>105</v>
      </c>
      <c r="L28" s="7"/>
      <c r="M28" s="125">
        <v>35</v>
      </c>
      <c r="N28" s="119"/>
      <c r="O28" s="124"/>
      <c r="P28" s="226"/>
      <c r="S28" s="254" t="s">
        <v>181</v>
      </c>
      <c r="T28" s="263">
        <f>AD34</f>
        <v>0.9190045225946528</v>
      </c>
      <c r="U28" s="256" t="s">
        <v>106</v>
      </c>
      <c r="V28" s="257"/>
      <c r="W28" s="241"/>
      <c r="X28" s="241"/>
      <c r="Y28" s="241" t="s">
        <v>182</v>
      </c>
      <c r="Z28" s="241"/>
      <c r="AA28" s="242">
        <f>H13*0.98-H15*0.98</f>
        <v>5.88</v>
      </c>
      <c r="AB28" s="240"/>
      <c r="AC28" s="240"/>
      <c r="AD28" s="242"/>
      <c r="AE28" s="240"/>
      <c r="AF28" s="240"/>
      <c r="AG28" s="240"/>
      <c r="AH28" s="240"/>
      <c r="AI28" s="273"/>
      <c r="AJ28" s="273"/>
      <c r="AK28" s="3">
        <v>20</v>
      </c>
      <c r="AL28" s="3" t="s">
        <v>64</v>
      </c>
      <c r="AM28" s="3" t="s">
        <v>112</v>
      </c>
      <c r="AN28" s="186">
        <f t="shared" si="0"/>
        <v>1.50798186</v>
      </c>
      <c r="AO28">
        <f t="shared" si="2"/>
        <v>0.150798186</v>
      </c>
      <c r="AP28">
        <v>0.0265</v>
      </c>
      <c r="AQ28" s="4">
        <v>13.86</v>
      </c>
      <c r="AR28">
        <f t="shared" si="3"/>
        <v>13.856470138743212</v>
      </c>
    </row>
    <row r="29" spans="1:44" ht="12.75">
      <c r="A29" s="225"/>
      <c r="B29" s="2"/>
      <c r="C29" s="8" t="s">
        <v>108</v>
      </c>
      <c r="D29" s="7"/>
      <c r="E29" s="7"/>
      <c r="F29" s="5" t="s">
        <v>109</v>
      </c>
      <c r="G29" s="5"/>
      <c r="H29" s="7"/>
      <c r="I29" s="5" t="s">
        <v>110</v>
      </c>
      <c r="J29" s="5"/>
      <c r="K29" s="5" t="s">
        <v>111</v>
      </c>
      <c r="L29" s="7"/>
      <c r="M29" s="123">
        <v>36</v>
      </c>
      <c r="N29" s="119"/>
      <c r="O29" s="124"/>
      <c r="P29" s="226"/>
      <c r="S29" s="254" t="s">
        <v>183</v>
      </c>
      <c r="T29" s="255">
        <f>H17</f>
        <v>40</v>
      </c>
      <c r="U29" s="264" t="s">
        <v>59</v>
      </c>
      <c r="V29" s="257">
        <f>IF(T24&lt;T25,(H17+6),(H17+10))</f>
        <v>50</v>
      </c>
      <c r="W29" s="241"/>
      <c r="X29" s="241"/>
      <c r="Y29" s="241" t="s">
        <v>184</v>
      </c>
      <c r="Z29" s="241"/>
      <c r="AA29" s="243">
        <f>VLOOKUP($J17,$AK$9:$AQ$51,6)</f>
        <v>0.022</v>
      </c>
      <c r="AB29" s="240"/>
      <c r="AC29" s="240"/>
      <c r="AD29" s="242"/>
      <c r="AE29" s="240"/>
      <c r="AF29" s="240"/>
      <c r="AG29" s="240"/>
      <c r="AH29" s="240"/>
      <c r="AI29" s="273"/>
      <c r="AJ29" s="273"/>
      <c r="AK29" s="3">
        <v>21</v>
      </c>
      <c r="AL29" s="3" t="s">
        <v>75</v>
      </c>
      <c r="AM29" s="3" t="s">
        <v>107</v>
      </c>
      <c r="AN29" s="186">
        <f t="shared" si="0"/>
        <v>3.4388094650000003</v>
      </c>
      <c r="AO29">
        <f t="shared" si="2"/>
        <v>0.3438809465</v>
      </c>
      <c r="AP29">
        <v>0.024</v>
      </c>
      <c r="AQ29" s="4">
        <v>20.93</v>
      </c>
      <c r="AR29">
        <f t="shared" si="3"/>
        <v>20.92466955295061</v>
      </c>
    </row>
    <row r="30" spans="1:44" ht="12.75">
      <c r="A30" s="225"/>
      <c r="B30" s="2"/>
      <c r="C30" s="8" t="s">
        <v>113</v>
      </c>
      <c r="D30" s="7"/>
      <c r="E30" s="7"/>
      <c r="F30" s="5" t="s">
        <v>114</v>
      </c>
      <c r="G30" s="5"/>
      <c r="H30" s="7"/>
      <c r="I30" s="5" t="s">
        <v>115</v>
      </c>
      <c r="J30" s="5"/>
      <c r="K30" s="5" t="s">
        <v>116</v>
      </c>
      <c r="L30" s="7"/>
      <c r="M30" s="123">
        <v>37</v>
      </c>
      <c r="N30" s="119"/>
      <c r="O30" s="124"/>
      <c r="P30" s="226"/>
      <c r="S30" s="254" t="s">
        <v>117</v>
      </c>
      <c r="T30" s="258">
        <f>VLOOKUP($J17,$AK$9:$AQ$51,7)</f>
        <v>10.210799999999999</v>
      </c>
      <c r="U30" s="256" t="s">
        <v>118</v>
      </c>
      <c r="V30" s="260"/>
      <c r="W30" s="244"/>
      <c r="X30" s="244"/>
      <c r="Y30" s="245" t="s">
        <v>185</v>
      </c>
      <c r="Z30" s="246"/>
      <c r="AA30" s="243">
        <f>VLOOKUP($J18,$AK$9:$AQ$51,6)</f>
        <v>0.0285</v>
      </c>
      <c r="AB30" s="240"/>
      <c r="AC30" s="240"/>
      <c r="AD30" s="242"/>
      <c r="AE30" s="240"/>
      <c r="AF30" s="240"/>
      <c r="AG30" s="240"/>
      <c r="AH30" s="240"/>
      <c r="AI30" s="273"/>
      <c r="AJ30" s="273"/>
      <c r="AK30" s="3">
        <v>22</v>
      </c>
      <c r="AL30" s="3" t="s">
        <v>75</v>
      </c>
      <c r="AM30" s="3" t="s">
        <v>112</v>
      </c>
      <c r="AN30" s="186">
        <f t="shared" si="0"/>
        <v>2.7892816250000005</v>
      </c>
      <c r="AO30">
        <f t="shared" si="2"/>
        <v>0.2789281625000001</v>
      </c>
      <c r="AP30">
        <v>0.0245</v>
      </c>
      <c r="AQ30" s="4">
        <v>18.85</v>
      </c>
      <c r="AR30">
        <f t="shared" si="3"/>
        <v>18.845199286818875</v>
      </c>
    </row>
    <row r="31" spans="1:44" ht="12.75">
      <c r="A31" s="225"/>
      <c r="B31" s="2"/>
      <c r="C31" s="8" t="s">
        <v>119</v>
      </c>
      <c r="D31" s="7"/>
      <c r="E31" s="7"/>
      <c r="F31" s="5" t="s">
        <v>120</v>
      </c>
      <c r="G31" s="5"/>
      <c r="H31" s="7"/>
      <c r="I31" s="5" t="s">
        <v>121</v>
      </c>
      <c r="J31" s="5"/>
      <c r="K31" s="118" t="s">
        <v>201</v>
      </c>
      <c r="L31" s="119"/>
      <c r="M31" s="125">
        <v>38</v>
      </c>
      <c r="N31" s="119"/>
      <c r="O31" s="124"/>
      <c r="P31" s="226"/>
      <c r="S31" s="254" t="s">
        <v>122</v>
      </c>
      <c r="T31" s="258">
        <f>VLOOKUP($J18,$AK$9:$AQ$51,7)</f>
        <v>4.571999999999999</v>
      </c>
      <c r="U31" s="256" t="s">
        <v>118</v>
      </c>
      <c r="V31" s="260"/>
      <c r="W31" s="244"/>
      <c r="X31" s="244"/>
      <c r="Y31" s="245" t="s">
        <v>186</v>
      </c>
      <c r="Z31" s="246"/>
      <c r="AA31" s="240">
        <f>H17</f>
        <v>40</v>
      </c>
      <c r="AB31" s="240"/>
      <c r="AC31" s="240"/>
      <c r="AD31" s="242"/>
      <c r="AE31" s="240"/>
      <c r="AF31" s="240"/>
      <c r="AG31" s="240"/>
      <c r="AH31" s="240"/>
      <c r="AI31" s="273"/>
      <c r="AJ31" s="273"/>
      <c r="AK31" s="3">
        <v>23</v>
      </c>
      <c r="AL31" s="3" t="s">
        <v>81</v>
      </c>
      <c r="AM31" s="3" t="s">
        <v>107</v>
      </c>
      <c r="AN31" s="186">
        <f t="shared" si="0"/>
        <v>5.5668816649999995</v>
      </c>
      <c r="AO31">
        <f t="shared" si="2"/>
        <v>0.5566881665</v>
      </c>
      <c r="AP31">
        <v>0.023</v>
      </c>
      <c r="AQ31" s="4">
        <v>26.63</v>
      </c>
      <c r="AR31">
        <f t="shared" si="3"/>
        <v>26.62321787840777</v>
      </c>
    </row>
    <row r="32" spans="1:44" ht="12.75">
      <c r="A32" s="225"/>
      <c r="B32" s="2"/>
      <c r="C32" s="8" t="s">
        <v>123</v>
      </c>
      <c r="D32" s="7"/>
      <c r="E32" s="7"/>
      <c r="F32" s="5" t="s">
        <v>124</v>
      </c>
      <c r="G32" s="5"/>
      <c r="H32" s="7"/>
      <c r="I32" s="5" t="s">
        <v>125</v>
      </c>
      <c r="J32" s="5"/>
      <c r="K32" s="120" t="s">
        <v>126</v>
      </c>
      <c r="L32" s="119"/>
      <c r="M32" s="123">
        <v>39</v>
      </c>
      <c r="N32" s="119"/>
      <c r="O32" s="124"/>
      <c r="P32" s="226"/>
      <c r="S32" s="254" t="s">
        <v>127</v>
      </c>
      <c r="T32" s="255">
        <f>SQRT((9.81*T28*10000*T30)/(T23*V29*T27*500))</f>
        <v>1.4464281809074788</v>
      </c>
      <c r="U32" s="256" t="s">
        <v>76</v>
      </c>
      <c r="V32" s="260"/>
      <c r="W32" s="244"/>
      <c r="X32" s="244"/>
      <c r="Y32" s="245" t="s">
        <v>187</v>
      </c>
      <c r="Z32" s="246"/>
      <c r="AA32" s="240">
        <f>H18</f>
        <v>3</v>
      </c>
      <c r="AB32" s="240"/>
      <c r="AC32" s="240"/>
      <c r="AD32" s="242"/>
      <c r="AE32" s="240"/>
      <c r="AF32" s="240"/>
      <c r="AG32" s="240"/>
      <c r="AH32" s="240"/>
      <c r="AI32" s="273"/>
      <c r="AJ32" s="273"/>
      <c r="AK32" s="3">
        <v>24</v>
      </c>
      <c r="AL32" s="3" t="s">
        <v>81</v>
      </c>
      <c r="AM32" s="3" t="s">
        <v>112</v>
      </c>
      <c r="AN32" s="186">
        <f t="shared" si="0"/>
        <v>4.635346500000001</v>
      </c>
      <c r="AO32">
        <f t="shared" si="2"/>
        <v>0.46353465000000005</v>
      </c>
      <c r="AP32">
        <v>0.0235</v>
      </c>
      <c r="AQ32" s="4">
        <v>24.3</v>
      </c>
      <c r="AR32">
        <f t="shared" si="3"/>
        <v>24.29381128221213</v>
      </c>
    </row>
    <row r="33" spans="1:44" ht="13.5" thickBot="1">
      <c r="A33" s="225"/>
      <c r="B33" s="2"/>
      <c r="C33" s="9" t="s">
        <v>128</v>
      </c>
      <c r="D33" s="10"/>
      <c r="E33" s="10"/>
      <c r="F33" s="11" t="s">
        <v>129</v>
      </c>
      <c r="G33" s="11"/>
      <c r="H33" s="10"/>
      <c r="I33" s="11" t="s">
        <v>130</v>
      </c>
      <c r="J33" s="11"/>
      <c r="K33" s="121" t="s">
        <v>131</v>
      </c>
      <c r="L33" s="122"/>
      <c r="M33" s="126">
        <v>40</v>
      </c>
      <c r="N33" s="122"/>
      <c r="O33" s="127"/>
      <c r="P33" s="226"/>
      <c r="S33" s="254" t="s">
        <v>132</v>
      </c>
      <c r="T33" s="255">
        <f>T27*T32*T30/V22</f>
        <v>5907.675547844034</v>
      </c>
      <c r="U33" s="256" t="s">
        <v>133</v>
      </c>
      <c r="V33" s="260"/>
      <c r="W33" s="244"/>
      <c r="X33" s="244"/>
      <c r="Y33" s="245" t="s">
        <v>209</v>
      </c>
      <c r="Z33" s="246"/>
      <c r="AA33" s="240">
        <f>(AD27*AA29*AA31)/(AA30*AA32*AD26)</f>
        <v>0.18524599080572066</v>
      </c>
      <c r="AB33" s="240"/>
      <c r="AC33" s="240"/>
      <c r="AD33" s="242"/>
      <c r="AE33" s="240"/>
      <c r="AF33" s="240"/>
      <c r="AG33" s="240"/>
      <c r="AH33" s="240"/>
      <c r="AI33" s="273"/>
      <c r="AJ33" s="273"/>
      <c r="AK33" s="3">
        <v>25</v>
      </c>
      <c r="AL33" s="3" t="s">
        <v>135</v>
      </c>
      <c r="AM33" s="3" t="s">
        <v>136</v>
      </c>
      <c r="AN33" s="186">
        <f t="shared" si="0"/>
        <v>0.0176625</v>
      </c>
      <c r="AO33">
        <f t="shared" si="2"/>
        <v>0.00176625</v>
      </c>
      <c r="AP33">
        <v>0.035</v>
      </c>
      <c r="AQ33" s="4">
        <v>1.5</v>
      </c>
      <c r="AR33"/>
    </row>
    <row r="34" spans="1:44" ht="18.75" customHeight="1" thickBot="1" thickTop="1">
      <c r="A34" s="225"/>
      <c r="B34" s="2"/>
      <c r="C34" s="2"/>
      <c r="D34" s="2"/>
      <c r="E34" s="2"/>
      <c r="F34" s="2"/>
      <c r="G34" s="139"/>
      <c r="H34" s="175" t="s">
        <v>197</v>
      </c>
      <c r="I34" s="2"/>
      <c r="J34" s="2"/>
      <c r="K34" s="2"/>
      <c r="L34" s="2"/>
      <c r="M34" s="2"/>
      <c r="N34" s="2"/>
      <c r="O34" s="2"/>
      <c r="P34" s="226"/>
      <c r="S34" s="254" t="s">
        <v>134</v>
      </c>
      <c r="T34" s="255">
        <f>(9.81*T28*10000*T30*T30)/(32*V22*T27*V29*T27)</f>
        <v>0.004589614861164844</v>
      </c>
      <c r="U34" s="256" t="s">
        <v>76</v>
      </c>
      <c r="V34" s="260"/>
      <c r="W34" s="244"/>
      <c r="X34" s="244"/>
      <c r="Y34" s="245" t="s">
        <v>188</v>
      </c>
      <c r="Z34" s="246"/>
      <c r="AA34" s="240"/>
      <c r="AB34" s="240"/>
      <c r="AC34" s="240"/>
      <c r="AD34" s="247">
        <f>(AA28*AA33)/(1+AA33)</f>
        <v>0.9190045225946528</v>
      </c>
      <c r="AE34" s="240" t="s">
        <v>106</v>
      </c>
      <c r="AF34" s="240"/>
      <c r="AG34" s="240"/>
      <c r="AH34" s="240"/>
      <c r="AI34" s="273"/>
      <c r="AJ34" s="273"/>
      <c r="AK34" s="3">
        <v>26</v>
      </c>
      <c r="AL34" s="3" t="s">
        <v>135</v>
      </c>
      <c r="AM34" s="3" t="s">
        <v>138</v>
      </c>
      <c r="AN34" s="186">
        <f t="shared" si="0"/>
        <v>0.007850000000000001</v>
      </c>
      <c r="AO34">
        <f t="shared" si="2"/>
        <v>0.0007850000000000001</v>
      </c>
      <c r="AP34">
        <v>0.036</v>
      </c>
      <c r="AQ34" s="4">
        <v>1</v>
      </c>
      <c r="AR34"/>
    </row>
    <row r="35" spans="1:44" ht="12.75">
      <c r="A35" s="225"/>
      <c r="B35" s="2"/>
      <c r="C35" s="80" t="str">
        <f>IF(S42=0,S47,S42)</f>
        <v>Vaporización después del lazo rápido ( en SAM )</v>
      </c>
      <c r="D35" s="81"/>
      <c r="E35" s="81"/>
      <c r="F35" s="81"/>
      <c r="G35" s="2"/>
      <c r="H35" s="81"/>
      <c r="I35" s="81"/>
      <c r="J35" s="81"/>
      <c r="K35" s="81"/>
      <c r="L35" s="81"/>
      <c r="M35" s="81"/>
      <c r="N35" s="81"/>
      <c r="O35" s="208" t="s">
        <v>202</v>
      </c>
      <c r="P35" s="226"/>
      <c r="S35" s="254" t="s">
        <v>137</v>
      </c>
      <c r="T35" s="265">
        <f>H13-AD35</f>
        <v>7.062615386953454</v>
      </c>
      <c r="U35" s="256" t="s">
        <v>189</v>
      </c>
      <c r="V35" s="266">
        <f>T35+Z40</f>
        <v>7.5977162677590675</v>
      </c>
      <c r="W35" s="244"/>
      <c r="X35" s="244"/>
      <c r="Y35" s="248" t="s">
        <v>190</v>
      </c>
      <c r="Z35" s="246"/>
      <c r="AA35" s="240"/>
      <c r="AB35" s="240"/>
      <c r="AC35" s="240"/>
      <c r="AD35" s="240">
        <f>1.02*AD34</f>
        <v>0.9373846130465459</v>
      </c>
      <c r="AE35" s="240" t="s">
        <v>189</v>
      </c>
      <c r="AF35" s="240"/>
      <c r="AG35" s="240"/>
      <c r="AH35" s="240"/>
      <c r="AI35" s="273"/>
      <c r="AJ35" s="273"/>
      <c r="AK35" s="3">
        <v>27</v>
      </c>
      <c r="AL35" s="3" t="s">
        <v>87</v>
      </c>
      <c r="AM35" s="3" t="s">
        <v>140</v>
      </c>
      <c r="AN35" s="186">
        <f t="shared" si="0"/>
        <v>0.0961625</v>
      </c>
      <c r="AO35">
        <f t="shared" si="2"/>
        <v>0.00961625</v>
      </c>
      <c r="AP35">
        <v>0.031</v>
      </c>
      <c r="AQ35" s="4">
        <v>3.5</v>
      </c>
      <c r="AR35"/>
    </row>
    <row r="36" spans="1:44" ht="12.75">
      <c r="A36" s="225"/>
      <c r="B36" s="2"/>
      <c r="C36" s="82">
        <f>IF(S43=0,0,S43)</f>
        <v>0</v>
      </c>
      <c r="D36" s="83"/>
      <c r="E36" s="83"/>
      <c r="F36" s="83"/>
      <c r="G36" s="83"/>
      <c r="H36" s="83">
        <f>IF(W43=0,W47,W43)</f>
        <v>0</v>
      </c>
      <c r="I36" s="84">
        <f>IF(W43=0,X47,0)</f>
        <v>0</v>
      </c>
      <c r="J36" s="83">
        <f>IF(W43=0,Y47,W43)</f>
        <v>0</v>
      </c>
      <c r="K36" s="302">
        <f>IF(AB44=0,0,AB44)</f>
        <v>0</v>
      </c>
      <c r="L36" s="302"/>
      <c r="M36" s="302"/>
      <c r="N36" s="303"/>
      <c r="O36" s="286">
        <v>4</v>
      </c>
      <c r="P36" s="226"/>
      <c r="S36" s="254" t="s">
        <v>139</v>
      </c>
      <c r="T36" s="255">
        <f>IF(T33&lt;=4000,T34,T32)</f>
        <v>1.4464281809074788</v>
      </c>
      <c r="U36" s="256" t="s">
        <v>76</v>
      </c>
      <c r="V36" s="260"/>
      <c r="W36" s="244"/>
      <c r="X36" s="244"/>
      <c r="Y36" s="244"/>
      <c r="Z36" s="246"/>
      <c r="AA36" s="240"/>
      <c r="AB36" s="240"/>
      <c r="AC36" s="240"/>
      <c r="AD36" s="240"/>
      <c r="AE36" s="240"/>
      <c r="AF36" s="240"/>
      <c r="AG36" s="240"/>
      <c r="AH36" s="240"/>
      <c r="AI36" s="273"/>
      <c r="AJ36" s="273"/>
      <c r="AK36" s="3">
        <v>28</v>
      </c>
      <c r="AL36" s="3" t="s">
        <v>87</v>
      </c>
      <c r="AM36" s="3" t="s">
        <v>142</v>
      </c>
      <c r="AN36" s="186">
        <f t="shared" si="0"/>
        <v>0.07065</v>
      </c>
      <c r="AO36">
        <f t="shared" si="2"/>
        <v>0.007065</v>
      </c>
      <c r="AP36">
        <v>0.032</v>
      </c>
      <c r="AQ36" s="4">
        <v>3</v>
      </c>
      <c r="AR36"/>
    </row>
    <row r="37" spans="1:44" ht="12.75">
      <c r="A37" s="225"/>
      <c r="B37" s="2"/>
      <c r="C37" s="82" t="str">
        <f>IF(S44=0,S48,S44)</f>
        <v>Caudal gas lazo rápido sec., cc/min.</v>
      </c>
      <c r="D37" s="83"/>
      <c r="E37" s="83"/>
      <c r="F37" s="83"/>
      <c r="G37" s="83"/>
      <c r="H37" s="83">
        <f>IF(W44=0,W48,W44)</f>
        <v>4520</v>
      </c>
      <c r="I37" s="84" t="str">
        <f>IF(S42=0,X48,0)</f>
        <v>a</v>
      </c>
      <c r="J37" s="83">
        <f>IF(W44=0,Y48,0)</f>
        <v>6050</v>
      </c>
      <c r="K37" s="302">
        <f>IF(AB45=0,0,AB45)</f>
        <v>0</v>
      </c>
      <c r="L37" s="302"/>
      <c r="M37" s="302"/>
      <c r="N37" s="303"/>
      <c r="O37" s="286">
        <v>150</v>
      </c>
      <c r="P37" s="226"/>
      <c r="S37" s="254" t="s">
        <v>141</v>
      </c>
      <c r="T37" s="255">
        <f>T24*0.01*T36*60*10</f>
        <v>7.102926507732271</v>
      </c>
      <c r="U37" s="256" t="s">
        <v>73</v>
      </c>
      <c r="V37" s="260"/>
      <c r="W37" s="244"/>
      <c r="X37" s="244"/>
      <c r="Y37" s="244"/>
      <c r="Z37" s="246"/>
      <c r="AA37" s="240"/>
      <c r="AB37" s="240"/>
      <c r="AC37" s="240"/>
      <c r="AD37" s="240"/>
      <c r="AE37" s="240"/>
      <c r="AF37" s="240"/>
      <c r="AG37" s="240"/>
      <c r="AH37" s="240"/>
      <c r="AI37" s="273"/>
      <c r="AJ37" s="273"/>
      <c r="AK37" s="3">
        <v>29</v>
      </c>
      <c r="AL37" s="3" t="s">
        <v>144</v>
      </c>
      <c r="AM37" s="3" t="s">
        <v>142</v>
      </c>
      <c r="AN37" s="186">
        <f t="shared" si="0"/>
        <v>0.63585</v>
      </c>
      <c r="AO37">
        <f t="shared" si="2"/>
        <v>0.063585</v>
      </c>
      <c r="AP37">
        <v>0.025</v>
      </c>
      <c r="AQ37" s="4">
        <v>9</v>
      </c>
      <c r="AR37"/>
    </row>
    <row r="38" spans="1:44" ht="12.75">
      <c r="A38" s="225"/>
      <c r="B38" s="2"/>
      <c r="C38" s="82" t="str">
        <f>IF(S45=0,S49,S45)</f>
        <v>Caudal equivalente de líquido, cc/min.</v>
      </c>
      <c r="D38" s="83"/>
      <c r="E38" s="83"/>
      <c r="F38" s="83"/>
      <c r="G38" s="83"/>
      <c r="H38" s="83">
        <f>IF(W45=0,W49,W45)</f>
        <v>24.820180466210275</v>
      </c>
      <c r="I38" s="84" t="str">
        <f>IF(W45=0,X49,0)</f>
        <v>a</v>
      </c>
      <c r="J38" s="83">
        <f>IF(W45=0,Y49,0)</f>
        <v>33.22170173021508</v>
      </c>
      <c r="K38" s="302" t="str">
        <f>IF(AB46=0,AC49,AB46)</f>
        <v> Línea, Código</v>
      </c>
      <c r="L38" s="302"/>
      <c r="M38" s="302"/>
      <c r="N38" s="303"/>
      <c r="O38" s="290">
        <v>4</v>
      </c>
      <c r="P38" s="226"/>
      <c r="S38" s="267" t="s">
        <v>143</v>
      </c>
      <c r="T38" s="268">
        <f>N20</f>
        <v>6</v>
      </c>
      <c r="U38" s="269" t="s">
        <v>73</v>
      </c>
      <c r="V38" s="260"/>
      <c r="W38" s="249"/>
      <c r="X38" s="249" t="s">
        <v>191</v>
      </c>
      <c r="Y38" s="250"/>
      <c r="Z38" s="246">
        <f>T39^2</f>
        <v>1.492868683246737</v>
      </c>
      <c r="AA38" s="240"/>
      <c r="AB38" s="240"/>
      <c r="AC38" s="240"/>
      <c r="AD38" s="240"/>
      <c r="AE38" s="240"/>
      <c r="AF38" s="240"/>
      <c r="AG38" s="240"/>
      <c r="AH38" s="240"/>
      <c r="AI38" s="273"/>
      <c r="AJ38" s="273"/>
      <c r="AK38" s="184">
        <v>30</v>
      </c>
      <c r="AL38" s="184" t="s">
        <v>47</v>
      </c>
      <c r="AM38" s="184" t="s">
        <v>175</v>
      </c>
      <c r="AN38" s="186">
        <f t="shared" si="0"/>
        <v>0.30399697264999986</v>
      </c>
      <c r="AO38">
        <f t="shared" si="2"/>
        <v>0.030399697264999987</v>
      </c>
      <c r="AP38" s="116">
        <v>0.0236</v>
      </c>
      <c r="AQ38" s="4">
        <f>25.4*3/8-(25.4*2*0.065)</f>
        <v>6.222999999999999</v>
      </c>
      <c r="AR38" s="116"/>
    </row>
    <row r="39" spans="1:45" ht="12.75">
      <c r="A39" s="225"/>
      <c r="B39" s="2"/>
      <c r="C39" s="82" t="str">
        <f>IF(S46=0,S50,S46)</f>
        <v>Volumen total antes de vaporizar, cc.</v>
      </c>
      <c r="D39" s="83"/>
      <c r="E39" s="83"/>
      <c r="F39" s="83"/>
      <c r="G39" s="83"/>
      <c r="H39" s="231">
        <f>IF(W46=0,W50,W46)</f>
        <v>68.63599775999998</v>
      </c>
      <c r="I39" s="84">
        <f>IF(W46=0,X50,0)</f>
        <v>0</v>
      </c>
      <c r="J39" s="83">
        <f>IF(W46=0,Y50,0)</f>
        <v>68.63599775999998</v>
      </c>
      <c r="K39" s="302" t="str">
        <f>IF(AB47=0,AC50,AB47)</f>
        <v> Línea, Longitud, m.</v>
      </c>
      <c r="L39" s="302"/>
      <c r="M39" s="302"/>
      <c r="N39" s="303"/>
      <c r="O39" s="286">
        <v>4</v>
      </c>
      <c r="P39" s="226"/>
      <c r="S39" s="267" t="s">
        <v>145</v>
      </c>
      <c r="T39" s="255">
        <f>T38/(60*T24*0.1)</f>
        <v>1.2218300549776704</v>
      </c>
      <c r="U39" s="269" t="s">
        <v>76</v>
      </c>
      <c r="V39" s="260"/>
      <c r="W39" s="250"/>
      <c r="X39" s="249" t="s">
        <v>192</v>
      </c>
      <c r="Y39" s="250"/>
      <c r="Z39" s="246">
        <f>(Z38*AA29*AA31*T27)/(196.2*AA26)</f>
        <v>0.5246087066721697</v>
      </c>
      <c r="AA39" s="240" t="s">
        <v>106</v>
      </c>
      <c r="AB39" s="240"/>
      <c r="AC39" s="240"/>
      <c r="AD39" s="240"/>
      <c r="AE39" s="240"/>
      <c r="AF39" s="240"/>
      <c r="AG39" s="240"/>
      <c r="AH39" s="240"/>
      <c r="AI39" s="273"/>
      <c r="AJ39" s="273"/>
      <c r="AK39" s="184">
        <v>31</v>
      </c>
      <c r="AL39" s="184"/>
      <c r="AM39" s="184"/>
      <c r="AN39" s="186">
        <f t="shared" si="0"/>
        <v>0</v>
      </c>
      <c r="AO39" s="116">
        <f>AN39*100/1000</f>
        <v>0</v>
      </c>
      <c r="AP39" s="116"/>
      <c r="AQ39" s="116"/>
      <c r="AR39" s="116"/>
      <c r="AS39" s="117"/>
    </row>
    <row r="40" spans="1:45" ht="13.5" thickBot="1">
      <c r="A40" s="225"/>
      <c r="B40" s="2"/>
      <c r="C40" s="82" t="str">
        <f>IF(S42=0,S51,0)</f>
        <v>Tiempo muerto de vaporización Tv, secs.</v>
      </c>
      <c r="D40" s="83"/>
      <c r="E40" s="83"/>
      <c r="F40" s="83"/>
      <c r="G40" s="83"/>
      <c r="H40" s="83">
        <f>IF(S42=0,W51,0)</f>
        <v>165.9198196083378</v>
      </c>
      <c r="I40" s="84" t="str">
        <f>IF(S42=0,X51,0)</f>
        <v>a</v>
      </c>
      <c r="J40" s="83">
        <f>IF(S42=0,Y51,0)</f>
        <v>123.95993134374991</v>
      </c>
      <c r="K40" s="83"/>
      <c r="L40" s="83"/>
      <c r="M40" s="302">
        <f>Z42</f>
        <v>0</v>
      </c>
      <c r="N40" s="303"/>
      <c r="O40" s="277">
        <v>50</v>
      </c>
      <c r="P40" s="226"/>
      <c r="S40" s="270" t="s">
        <v>146</v>
      </c>
      <c r="T40" s="271">
        <f>T27*T39*T30/V22</f>
        <v>4990.344930146398</v>
      </c>
      <c r="U40" s="271" t="s">
        <v>133</v>
      </c>
      <c r="V40" s="272"/>
      <c r="W40" s="246"/>
      <c r="X40" s="249" t="s">
        <v>192</v>
      </c>
      <c r="Y40" s="246"/>
      <c r="Z40" s="246">
        <f>1.02*Z39</f>
        <v>0.5351008808056131</v>
      </c>
      <c r="AA40" s="240" t="s">
        <v>189</v>
      </c>
      <c r="AB40" s="240"/>
      <c r="AC40" s="240"/>
      <c r="AD40" s="240"/>
      <c r="AE40" s="240"/>
      <c r="AF40" s="240"/>
      <c r="AG40" s="240"/>
      <c r="AH40" s="240"/>
      <c r="AI40" s="273"/>
      <c r="AJ40" s="273"/>
      <c r="AK40" s="184">
        <v>32</v>
      </c>
      <c r="AL40" s="184"/>
      <c r="AM40" s="184"/>
      <c r="AN40" s="187">
        <f>(AQ40/10)^2*3.1416/4</f>
        <v>0</v>
      </c>
      <c r="AO40" s="116">
        <f>AN40*100/1000</f>
        <v>0</v>
      </c>
      <c r="AP40" s="116"/>
      <c r="AQ40" s="116"/>
      <c r="AR40" s="116"/>
      <c r="AS40" s="117"/>
    </row>
    <row r="41" spans="1:45" ht="12.75">
      <c r="A41" s="225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27"/>
      <c r="P41" s="226"/>
      <c r="S41" s="188" t="s">
        <v>147</v>
      </c>
      <c r="T41" s="189"/>
      <c r="U41" s="189"/>
      <c r="V41" s="189"/>
      <c r="W41" s="189"/>
      <c r="X41" s="189"/>
      <c r="Y41" s="189"/>
      <c r="Z41" s="189"/>
      <c r="AA41" s="190"/>
      <c r="AB41" s="190"/>
      <c r="AC41" s="190"/>
      <c r="AD41" s="190"/>
      <c r="AE41" s="190"/>
      <c r="AF41" s="190"/>
      <c r="AG41" s="190"/>
      <c r="AH41" s="191"/>
      <c r="AI41" s="273"/>
      <c r="AJ41" s="273"/>
      <c r="AK41" s="184"/>
      <c r="AL41" s="184"/>
      <c r="AM41" s="184"/>
      <c r="AN41" s="187">
        <f>(AQ41/10)^2*3.1416/4</f>
        <v>0</v>
      </c>
      <c r="AO41" s="116">
        <f>AN41*100/1000</f>
        <v>0</v>
      </c>
      <c r="AP41" s="116"/>
      <c r="AQ41" s="116"/>
      <c r="AR41" s="116"/>
      <c r="AS41" s="117"/>
    </row>
    <row r="42" spans="1:45" ht="12.75">
      <c r="A42" s="225"/>
      <c r="B42" s="2"/>
      <c r="C42" s="129" t="s">
        <v>198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2"/>
      <c r="P42" s="226"/>
      <c r="S42" s="192">
        <f>IF(AND($G$12="L",$G$13="G"),"Vaporización en el punto de toma",0)</f>
        <v>0</v>
      </c>
      <c r="T42" s="193"/>
      <c r="U42" s="193"/>
      <c r="V42" s="193"/>
      <c r="W42" s="193"/>
      <c r="X42" s="193"/>
      <c r="Y42" s="193"/>
      <c r="Z42" s="196">
        <f>IF(AND($G$12="L",$G$13="G"),AC42,0)</f>
        <v>0</v>
      </c>
      <c r="AA42" s="193"/>
      <c r="AB42" s="193"/>
      <c r="AC42" s="193" t="s">
        <v>225</v>
      </c>
      <c r="AD42" s="193"/>
      <c r="AE42" s="193"/>
      <c r="AF42" s="193"/>
      <c r="AG42" s="193"/>
      <c r="AH42" s="194"/>
      <c r="AK42" s="184"/>
      <c r="AL42" s="184"/>
      <c r="AM42" s="184"/>
      <c r="AN42" s="187"/>
      <c r="AO42" s="116">
        <f>AN42*100/1000</f>
        <v>0</v>
      </c>
      <c r="AP42" s="116"/>
      <c r="AQ42" s="116"/>
      <c r="AR42" s="116"/>
      <c r="AS42" s="117"/>
    </row>
    <row r="43" spans="1:45" ht="12">
      <c r="A43" s="225"/>
      <c r="B43" s="2"/>
      <c r="C43" s="33"/>
      <c r="D43" s="20"/>
      <c r="E43" s="20"/>
      <c r="F43" s="20"/>
      <c r="G43" s="22"/>
      <c r="H43" s="20"/>
      <c r="I43" s="20"/>
      <c r="J43" s="24"/>
      <c r="K43" s="20"/>
      <c r="L43" s="20"/>
      <c r="M43" s="20"/>
      <c r="N43" s="22"/>
      <c r="O43" s="34"/>
      <c r="P43" s="226"/>
      <c r="S43" s="192">
        <v>0</v>
      </c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5" t="s">
        <v>148</v>
      </c>
      <c r="AH43" s="194"/>
      <c r="AK43" s="185"/>
      <c r="AL43" s="185"/>
      <c r="AM43" s="185"/>
      <c r="AN43" s="185"/>
      <c r="AO43" s="117"/>
      <c r="AP43" s="117"/>
      <c r="AQ43" s="117"/>
      <c r="AR43" s="117"/>
      <c r="AS43" s="117"/>
    </row>
    <row r="44" spans="1:45" ht="12.75">
      <c r="A44" s="225"/>
      <c r="B44" s="2"/>
      <c r="C44" s="170" t="s">
        <v>149</v>
      </c>
      <c r="D44" s="131"/>
      <c r="E44" s="296">
        <v>4</v>
      </c>
      <c r="F44" s="157" t="str">
        <f>VLOOKUP($E44,$AK$9:$AP$51,2)</f>
        <v>1/4"</v>
      </c>
      <c r="G44" s="158" t="str">
        <f>VLOOKUP($E44,$AK$9:$AP$51,3)</f>
        <v>0.035"</v>
      </c>
      <c r="H44" s="169" t="s">
        <v>150</v>
      </c>
      <c r="I44" s="297">
        <v>3</v>
      </c>
      <c r="J44" s="136" t="s">
        <v>151</v>
      </c>
      <c r="K44" s="132"/>
      <c r="L44" s="159">
        <f>VLOOKUP($E44,$AK$9:$AP$51,4)*I44</f>
        <v>0.4922699831999999</v>
      </c>
      <c r="M44" s="131" t="s">
        <v>57</v>
      </c>
      <c r="N44" s="23"/>
      <c r="O44" s="34"/>
      <c r="P44" s="226"/>
      <c r="S44" s="192">
        <f>IF(AND($G$12="L",$G$13="G"),"Caudal equivalente de líquido, cc/min.",0)</f>
        <v>0</v>
      </c>
      <c r="T44" s="193"/>
      <c r="U44" s="193"/>
      <c r="V44" s="193"/>
      <c r="W44" s="196">
        <f>IF(AND($G$12="L",$G$13="G"),Z44,0)</f>
        <v>0</v>
      </c>
      <c r="X44" s="196"/>
      <c r="Y44" s="193"/>
      <c r="Z44" s="197">
        <f>($N$21*((H13*0.98)+1.033)*273*N9)/((I13+273)*0.98*1.033*$J$12*22.4)</f>
        <v>213.92000253612716</v>
      </c>
      <c r="AA44" s="193"/>
      <c r="AB44" s="196">
        <f>IF(AND($G$12="L",$G$13="G"),AC44,0)</f>
        <v>0</v>
      </c>
      <c r="AC44" s="193" t="s">
        <v>152</v>
      </c>
      <c r="AD44" s="196">
        <f>IF(AND($G$12="L",$G$13="G"),AE44,0)</f>
        <v>0</v>
      </c>
      <c r="AE44" s="193">
        <f>O36</f>
        <v>4</v>
      </c>
      <c r="AF44" s="193"/>
      <c r="AG44" s="198">
        <f>(3.14*((AE44/10)^2)/4*(AE45/10))</f>
        <v>1.8840000000000003</v>
      </c>
      <c r="AH44" s="194" t="s">
        <v>57</v>
      </c>
      <c r="AK44" s="185"/>
      <c r="AL44" s="185"/>
      <c r="AM44" s="185"/>
      <c r="AN44" s="185"/>
      <c r="AO44" s="117"/>
      <c r="AP44" s="117"/>
      <c r="AQ44" s="117"/>
      <c r="AR44" s="117"/>
      <c r="AS44" s="117"/>
    </row>
    <row r="45" spans="1:45" ht="12">
      <c r="A45" s="225"/>
      <c r="B45" s="2"/>
      <c r="C45" s="130"/>
      <c r="D45" s="131"/>
      <c r="E45" s="131"/>
      <c r="F45" s="133"/>
      <c r="G45" s="137" t="s">
        <v>153</v>
      </c>
      <c r="H45" s="128"/>
      <c r="I45" s="131"/>
      <c r="J45" s="133"/>
      <c r="K45" s="131"/>
      <c r="L45" s="295">
        <v>3</v>
      </c>
      <c r="M45" s="131" t="s">
        <v>57</v>
      </c>
      <c r="N45" s="24"/>
      <c r="O45" s="34"/>
      <c r="P45" s="226"/>
      <c r="S45" s="192">
        <f>IF(AND($G$12="L",$G$13="G"),"Volumen total antes de vaporizar,cc.",0)</f>
        <v>0</v>
      </c>
      <c r="T45" s="193"/>
      <c r="U45" s="193"/>
      <c r="V45" s="193"/>
      <c r="W45" s="196">
        <f>IF(AND($G$12="L",$G$13="G"),Z45,0)</f>
        <v>0</v>
      </c>
      <c r="X45" s="196"/>
      <c r="Y45" s="193"/>
      <c r="Z45" s="199">
        <f>AG47+AG44+3+O40</f>
        <v>120.51999775999998</v>
      </c>
      <c r="AA45" s="193"/>
      <c r="AB45" s="196">
        <f>IF(AND($G$12="L",$G$13="G"),AC45,0)</f>
        <v>0</v>
      </c>
      <c r="AC45" s="193" t="s">
        <v>154</v>
      </c>
      <c r="AD45" s="196">
        <f>IF(AND($G$12="L",$G$13="G"),AE45,0)</f>
        <v>0</v>
      </c>
      <c r="AE45" s="193">
        <f>O37</f>
        <v>150</v>
      </c>
      <c r="AF45" s="193"/>
      <c r="AG45" s="193"/>
      <c r="AH45" s="194"/>
      <c r="AK45" s="185"/>
      <c r="AL45" s="185"/>
      <c r="AM45" s="185"/>
      <c r="AN45" s="185"/>
      <c r="AO45" s="117"/>
      <c r="AP45" s="117"/>
      <c r="AQ45" s="117"/>
      <c r="AR45" s="117"/>
      <c r="AS45" s="117"/>
    </row>
    <row r="46" spans="1:45" ht="12.75" thickBot="1">
      <c r="A46" s="225"/>
      <c r="B46" s="2"/>
      <c r="C46" s="130"/>
      <c r="D46" s="131"/>
      <c r="E46" s="131"/>
      <c r="F46" s="131"/>
      <c r="G46" s="138" t="s">
        <v>155</v>
      </c>
      <c r="H46" s="131"/>
      <c r="I46" s="131"/>
      <c r="J46" s="133"/>
      <c r="K46" s="131"/>
      <c r="L46" s="295"/>
      <c r="M46" s="131" t="s">
        <v>57</v>
      </c>
      <c r="N46" s="22"/>
      <c r="O46" s="34"/>
      <c r="P46" s="226"/>
      <c r="S46" s="192">
        <f>IF(AND($G$12="L",$G$13="G"),"Tiempo muerto de vaporización Tv, secs.",0)</f>
        <v>0</v>
      </c>
      <c r="T46" s="193"/>
      <c r="U46" s="193"/>
      <c r="V46" s="193"/>
      <c r="W46" s="196">
        <f>IF(AND($G$12="L",$G$13="G"),Z46,0)</f>
        <v>0</v>
      </c>
      <c r="X46" s="196"/>
      <c r="Y46" s="193"/>
      <c r="Z46" s="199">
        <f>(Z45/Z44)*60</f>
        <v>33.80328992086087</v>
      </c>
      <c r="AA46" s="193"/>
      <c r="AB46" s="196">
        <f>IF(AND($G$12="L",$G$13="G"),AC46,0)</f>
        <v>0</v>
      </c>
      <c r="AC46" s="193" t="s">
        <v>156</v>
      </c>
      <c r="AD46" s="196">
        <f>IF(AND($G$12="L",$G$13="G"),AE46,0)</f>
        <v>0</v>
      </c>
      <c r="AE46" s="193">
        <f>O38</f>
        <v>4</v>
      </c>
      <c r="AF46" s="193"/>
      <c r="AG46" s="200">
        <f>VLOOKUP($AE46,$AK$9:$AP$51,4)</f>
        <v>0.16408999439999997</v>
      </c>
      <c r="AH46" s="194"/>
      <c r="AK46" s="185"/>
      <c r="AL46" s="117"/>
      <c r="AM46" s="117"/>
      <c r="AN46" s="185"/>
      <c r="AO46" s="117"/>
      <c r="AP46" s="117"/>
      <c r="AQ46" s="117"/>
      <c r="AR46" s="117"/>
      <c r="AS46" s="117"/>
    </row>
    <row r="47" spans="1:45" ht="12.75" thickBot="1">
      <c r="A47" s="225"/>
      <c r="B47" s="2"/>
      <c r="C47" s="130"/>
      <c r="D47" s="131"/>
      <c r="E47" s="131"/>
      <c r="F47" s="131"/>
      <c r="G47" s="138" t="s">
        <v>157</v>
      </c>
      <c r="H47" s="134"/>
      <c r="I47" s="131"/>
      <c r="J47" s="131"/>
      <c r="K47" s="131"/>
      <c r="L47" s="160">
        <f>SUM(L44:L46)</f>
        <v>3.4922699832</v>
      </c>
      <c r="M47" s="131" t="s">
        <v>57</v>
      </c>
      <c r="N47" s="24"/>
      <c r="O47" s="34"/>
      <c r="P47" s="226"/>
      <c r="S47" s="192" t="str">
        <f>IF(AND($G$13="L",$G$14="G"),"Vaporización después del lazo rápido ( en SAM )",0)</f>
        <v>Vaporización después del lazo rápido ( en SAM )</v>
      </c>
      <c r="T47" s="193"/>
      <c r="U47" s="193"/>
      <c r="V47" s="193"/>
      <c r="W47" s="193"/>
      <c r="X47" s="193"/>
      <c r="Y47" s="193"/>
      <c r="Z47" s="193"/>
      <c r="AA47" s="193"/>
      <c r="AB47" s="196">
        <f>IF(AND($G$12="L",$G$13="G"),AC47,0)</f>
        <v>0</v>
      </c>
      <c r="AC47" s="193" t="s">
        <v>158</v>
      </c>
      <c r="AD47" s="196">
        <f>IF(AND($G$12="L",$G$13="G"),AE47,0)</f>
        <v>0</v>
      </c>
      <c r="AE47" s="193">
        <f>O39</f>
        <v>4</v>
      </c>
      <c r="AF47" s="193"/>
      <c r="AG47" s="200">
        <f>AE47*100*AG46</f>
        <v>65.63599775999998</v>
      </c>
      <c r="AH47" s="194" t="s">
        <v>57</v>
      </c>
      <c r="AK47" s="117"/>
      <c r="AL47" s="117"/>
      <c r="AM47" s="117"/>
      <c r="AN47" s="185"/>
      <c r="AO47" s="117"/>
      <c r="AP47" s="117"/>
      <c r="AQ47" s="117"/>
      <c r="AR47" s="117"/>
      <c r="AS47" s="117"/>
    </row>
    <row r="48" spans="1:45" ht="12.75" thickBot="1">
      <c r="A48" s="225"/>
      <c r="B48" s="2"/>
      <c r="C48" s="170" t="s">
        <v>159</v>
      </c>
      <c r="D48" s="131"/>
      <c r="E48" s="131"/>
      <c r="F48" s="131"/>
      <c r="G48" s="131"/>
      <c r="H48" s="171" t="s">
        <v>160</v>
      </c>
      <c r="I48" s="298">
        <v>20</v>
      </c>
      <c r="J48" s="135" t="s">
        <v>161</v>
      </c>
      <c r="K48" s="298">
        <v>50</v>
      </c>
      <c r="L48" s="131" t="s">
        <v>38</v>
      </c>
      <c r="M48" s="131"/>
      <c r="N48" s="20"/>
      <c r="O48" s="34"/>
      <c r="P48" s="226"/>
      <c r="S48" s="192" t="str">
        <f>IF(AND($G$13="L",$G$14="G"),"Caudal gas lazo rápido sec., cc/min.",0)</f>
        <v>Caudal gas lazo rápido sec., cc/min.</v>
      </c>
      <c r="T48" s="193"/>
      <c r="U48" s="193"/>
      <c r="V48" s="193"/>
      <c r="W48" s="196">
        <f>IF(AND($G$13="L",$G$14="G"),Z48,0)</f>
        <v>4520</v>
      </c>
      <c r="X48" s="196" t="str">
        <f>IF(AND($G$13="L",$G$14="G"),AA48,0)</f>
        <v>a</v>
      </c>
      <c r="Y48" s="196">
        <f>IF(AND($G$13="L",$G$14="G"),AB48,0)</f>
        <v>6050</v>
      </c>
      <c r="Z48" s="199">
        <f>M18+I48</f>
        <v>4520</v>
      </c>
      <c r="AA48" s="201" t="s">
        <v>161</v>
      </c>
      <c r="AB48" s="202">
        <f>O18+K48</f>
        <v>6050</v>
      </c>
      <c r="AC48" s="193"/>
      <c r="AD48" s="193"/>
      <c r="AE48" s="193"/>
      <c r="AF48" s="193"/>
      <c r="AG48" s="193"/>
      <c r="AH48" s="194"/>
      <c r="AK48" s="117"/>
      <c r="AL48" s="117"/>
      <c r="AM48" s="117"/>
      <c r="AN48" s="117"/>
      <c r="AO48" s="117"/>
      <c r="AP48" s="117"/>
      <c r="AQ48" s="117"/>
      <c r="AR48" s="117"/>
      <c r="AS48" s="117"/>
    </row>
    <row r="49" spans="1:45" ht="15" customHeight="1">
      <c r="A49" s="225"/>
      <c r="B49" s="2"/>
      <c r="C49" s="35" t="s">
        <v>162</v>
      </c>
      <c r="D49" s="36"/>
      <c r="E49" s="36"/>
      <c r="F49" s="36"/>
      <c r="G49" s="36"/>
      <c r="H49" s="37" t="s">
        <v>163</v>
      </c>
      <c r="I49" s="161">
        <f>($L$47/I48)*60</f>
        <v>10.4768099496</v>
      </c>
      <c r="J49" s="38" t="s">
        <v>164</v>
      </c>
      <c r="K49" s="162">
        <f>($L$47/K48)*60</f>
        <v>4.19072397984</v>
      </c>
      <c r="L49" s="39" t="s">
        <v>70</v>
      </c>
      <c r="M49" s="40"/>
      <c r="N49" s="40"/>
      <c r="O49" s="30"/>
      <c r="P49" s="226"/>
      <c r="S49" s="192" t="str">
        <f>IF(AND($G$13="L",$G$14="G"),"Caudal equivalente de líquido, cc/min.",0)</f>
        <v>Caudal equivalente de líquido, cc/min.</v>
      </c>
      <c r="T49" s="193"/>
      <c r="U49" s="193"/>
      <c r="V49" s="193"/>
      <c r="W49" s="196">
        <f aca="true" t="shared" si="4" ref="W49:Y51">IF(AND($G$13="L",$G$14="G"),Z49,0)</f>
        <v>24.820180466210275</v>
      </c>
      <c r="X49" s="196" t="str">
        <f t="shared" si="4"/>
        <v>a</v>
      </c>
      <c r="Y49" s="196">
        <f t="shared" si="4"/>
        <v>33.22170173021508</v>
      </c>
      <c r="Z49" s="197">
        <f>($Z$48/1000*(($H$14*0.98)+1.033)*273*$N$9)/(($I$14+273)*0.98*1.033*($J$13)*22.4)</f>
        <v>24.820180466210275</v>
      </c>
      <c r="AA49" s="193" t="s">
        <v>161</v>
      </c>
      <c r="AB49" s="197">
        <f>($AB$48/1000*(($H$14*0.98)+1.033)*273*$N$9)/(($I$14+273)*0.98*1.033*($J$13)*22.4)</f>
        <v>33.22170173021508</v>
      </c>
      <c r="AC49" s="196" t="str">
        <f>IF(AND($G$13="L",$G$14="G")," Línea, Código",0)</f>
        <v> Línea, Código</v>
      </c>
      <c r="AD49" s="193" t="s">
        <v>165</v>
      </c>
      <c r="AE49" s="193">
        <f>O38</f>
        <v>4</v>
      </c>
      <c r="AF49" s="193"/>
      <c r="AG49" s="200">
        <f>VLOOKUP($AE49,$AK$9:$AP$51,4)</f>
        <v>0.16408999439999997</v>
      </c>
      <c r="AH49" s="194"/>
      <c r="AK49" s="117"/>
      <c r="AL49" s="117"/>
      <c r="AM49" s="117"/>
      <c r="AN49" s="117"/>
      <c r="AO49" s="117"/>
      <c r="AP49" s="117"/>
      <c r="AQ49" s="117"/>
      <c r="AR49" s="117"/>
      <c r="AS49" s="117"/>
    </row>
    <row r="50" spans="1:45" ht="13.5" customHeight="1">
      <c r="A50" s="225"/>
      <c r="B50" s="2"/>
      <c r="C50" s="20" t="s">
        <v>166</v>
      </c>
      <c r="D50" s="20"/>
      <c r="E50" s="20"/>
      <c r="F50" s="20"/>
      <c r="G50" s="20"/>
      <c r="H50" s="20"/>
      <c r="I50" s="20"/>
      <c r="J50" s="20"/>
      <c r="K50" s="299"/>
      <c r="L50" s="176" t="s">
        <v>70</v>
      </c>
      <c r="M50" s="177"/>
      <c r="N50" s="177"/>
      <c r="O50" s="179"/>
      <c r="P50" s="226"/>
      <c r="S50" s="192" t="str">
        <f>IF(AND($G$13="L",$G$14="G"),"Volumen total antes de vaporizar, cc.",0)</f>
        <v>Volumen total antes de vaporizar, cc.</v>
      </c>
      <c r="T50" s="193"/>
      <c r="U50" s="193"/>
      <c r="V50" s="193"/>
      <c r="W50" s="196">
        <f t="shared" si="4"/>
        <v>68.63599775999998</v>
      </c>
      <c r="X50" s="196">
        <f t="shared" si="4"/>
        <v>0</v>
      </c>
      <c r="Y50" s="196">
        <f t="shared" si="4"/>
        <v>68.63599775999998</v>
      </c>
      <c r="Z50" s="199">
        <f>AG50+3</f>
        <v>68.63599775999998</v>
      </c>
      <c r="AA50" s="193"/>
      <c r="AB50" s="199">
        <f>AG50+3</f>
        <v>68.63599775999998</v>
      </c>
      <c r="AC50" s="196" t="str">
        <f>IF(AND($G$13="L",$G$14="G")," Línea, Longitud, m.",0)</f>
        <v> Línea, Longitud, m.</v>
      </c>
      <c r="AD50" s="193" t="s">
        <v>167</v>
      </c>
      <c r="AE50" s="193">
        <f>O39</f>
        <v>4</v>
      </c>
      <c r="AF50" s="193"/>
      <c r="AG50" s="200">
        <f>AE50*100*AG49</f>
        <v>65.63599775999998</v>
      </c>
      <c r="AH50" s="194"/>
      <c r="AK50" s="117"/>
      <c r="AL50" s="117"/>
      <c r="AM50" s="117"/>
      <c r="AN50" s="117"/>
      <c r="AO50" s="117"/>
      <c r="AP50" s="117"/>
      <c r="AQ50" s="117"/>
      <c r="AR50" s="117"/>
      <c r="AS50" s="117"/>
    </row>
    <row r="51" spans="1:45" ht="12">
      <c r="A51" s="225"/>
      <c r="B51" s="2"/>
      <c r="C51" s="31" t="s">
        <v>168</v>
      </c>
      <c r="D51" s="32"/>
      <c r="E51" s="32"/>
      <c r="F51" s="32" t="s">
        <v>169</v>
      </c>
      <c r="G51" s="32"/>
      <c r="H51" s="41"/>
      <c r="I51" s="32"/>
      <c r="J51" s="32"/>
      <c r="K51" s="75">
        <f>N23</f>
        <v>32.73777710496</v>
      </c>
      <c r="L51" s="206">
        <f>IF(K51&gt;60,K51/60,0)</f>
        <v>0</v>
      </c>
      <c r="M51" s="76">
        <f>N23</f>
        <v>32.73777710496</v>
      </c>
      <c r="N51" s="206">
        <f>IF(M51&gt;60,M51/60,0)</f>
        <v>0</v>
      </c>
      <c r="O51" s="178">
        <f>IF(M51&gt;60,"min.",0)</f>
        <v>0</v>
      </c>
      <c r="P51" s="226"/>
      <c r="S51" s="192" t="str">
        <f>IF(AND($G$13="L",$G$14="G"),"Tiempo muerto de vaporización Tv, secs.",0)</f>
        <v>Tiempo muerto de vaporización Tv, secs.</v>
      </c>
      <c r="T51" s="193"/>
      <c r="U51" s="193"/>
      <c r="V51" s="193"/>
      <c r="W51" s="196">
        <f t="shared" si="4"/>
        <v>165.9198196083378</v>
      </c>
      <c r="X51" s="196" t="str">
        <f t="shared" si="4"/>
        <v>a</v>
      </c>
      <c r="Y51" s="196">
        <f t="shared" si="4"/>
        <v>123.95993134374991</v>
      </c>
      <c r="Z51" s="199">
        <f>(Z50/Z49)*60</f>
        <v>165.9198196083378</v>
      </c>
      <c r="AA51" s="201" t="s">
        <v>161</v>
      </c>
      <c r="AB51" s="199">
        <f>(AB50/AB49)*60</f>
        <v>123.95993134374991</v>
      </c>
      <c r="AC51" s="199"/>
      <c r="AD51" s="193"/>
      <c r="AE51" s="193"/>
      <c r="AF51" s="193"/>
      <c r="AG51" s="193"/>
      <c r="AH51" s="194"/>
      <c r="AK51" s="117"/>
      <c r="AL51" s="117"/>
      <c r="AM51" s="117"/>
      <c r="AN51" s="117"/>
      <c r="AO51" s="117"/>
      <c r="AP51" s="117"/>
      <c r="AQ51" s="117"/>
      <c r="AR51" s="117"/>
      <c r="AS51" s="117"/>
    </row>
    <row r="52" spans="1:45" ht="12.75" thickBot="1">
      <c r="A52" s="225"/>
      <c r="B52" s="2"/>
      <c r="C52" s="42" t="s">
        <v>170</v>
      </c>
      <c r="D52" s="20"/>
      <c r="E52" s="64"/>
      <c r="F52" s="64" t="str">
        <f>IF(S42=0,S47,S42)</f>
        <v>Vaporización después del lazo rápido ( en SAM )</v>
      </c>
      <c r="G52" s="20"/>
      <c r="H52" s="21"/>
      <c r="I52" s="20"/>
      <c r="J52" s="20"/>
      <c r="K52" s="76">
        <f>IF(S42=0,W51,W46)</f>
        <v>165.9198196083378</v>
      </c>
      <c r="L52" s="206">
        <f>IF(K52&gt;60,K52/60,0)</f>
        <v>2.76533032680563</v>
      </c>
      <c r="M52" s="76">
        <f>IF(S42=0,W51,W46)</f>
        <v>165.9198196083378</v>
      </c>
      <c r="N52" s="234">
        <f>IF(M52&gt;60,M52/60,0)</f>
        <v>2.76533032680563</v>
      </c>
      <c r="O52" s="235" t="str">
        <f>IF(M52&gt;60,"min.",0)</f>
        <v>min.</v>
      </c>
      <c r="P52" s="226"/>
      <c r="S52" s="203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5"/>
      <c r="AK52" s="117"/>
      <c r="AL52" s="117"/>
      <c r="AM52" s="117"/>
      <c r="AN52" s="117"/>
      <c r="AO52" s="117"/>
      <c r="AP52" s="117"/>
      <c r="AQ52" s="117"/>
      <c r="AR52" s="117"/>
      <c r="AS52" s="117"/>
    </row>
    <row r="53" spans="1:16" ht="12">
      <c r="A53" s="225"/>
      <c r="B53" s="2"/>
      <c r="C53" s="33"/>
      <c r="D53" s="20"/>
      <c r="E53" s="20"/>
      <c r="F53" s="20" t="s">
        <v>171</v>
      </c>
      <c r="G53" s="20"/>
      <c r="H53" s="20"/>
      <c r="I53" s="20"/>
      <c r="J53" s="20"/>
      <c r="K53" s="76">
        <f>K49</f>
        <v>4.19072397984</v>
      </c>
      <c r="L53" s="206">
        <f>IF(K53&gt;60,K53/60,0)</f>
        <v>0</v>
      </c>
      <c r="M53" s="76">
        <f>I49</f>
        <v>10.4768099496</v>
      </c>
      <c r="N53" s="206">
        <f>IF(M53&gt;60,M53/60,0)</f>
        <v>0</v>
      </c>
      <c r="O53" s="178">
        <f>IF(M53&gt;60,"min.",0)</f>
        <v>0</v>
      </c>
      <c r="P53" s="226"/>
    </row>
    <row r="54" spans="1:16" ht="12.75" thickBot="1">
      <c r="A54" s="225"/>
      <c r="B54" s="2"/>
      <c r="C54" s="33"/>
      <c r="D54" s="20"/>
      <c r="E54" s="20"/>
      <c r="F54" s="20" t="s">
        <v>172</v>
      </c>
      <c r="G54" s="114">
        <f>IF(VALUE(AC20)&gt;1,"Reducción de presión",0)</f>
        <v>0</v>
      </c>
      <c r="H54" s="20"/>
      <c r="I54" s="24"/>
      <c r="J54" s="20"/>
      <c r="K54" s="113">
        <f>IF(VALUE(AC20)&gt;1,AC20,0)</f>
        <v>0</v>
      </c>
      <c r="L54" s="207"/>
      <c r="M54" s="113">
        <f>IF(VALUE(AC20)&gt;1,AC20,0)</f>
        <v>0</v>
      </c>
      <c r="N54" s="207"/>
      <c r="O54" s="178">
        <f>IF(M54&gt;60,"min.",0)</f>
        <v>0</v>
      </c>
      <c r="P54" s="226"/>
    </row>
    <row r="55" spans="1:16" ht="13.5" thickBot="1" thickTop="1">
      <c r="A55" s="225"/>
      <c r="B55" s="2"/>
      <c r="C55" s="43"/>
      <c r="D55" s="40"/>
      <c r="E55" s="40"/>
      <c r="F55" s="40" t="s">
        <v>173</v>
      </c>
      <c r="G55" s="40"/>
      <c r="H55" s="44"/>
      <c r="I55" s="40"/>
      <c r="J55" s="163" t="s">
        <v>160</v>
      </c>
      <c r="K55" s="164">
        <f>M51+K52+K53+K50+K54</f>
        <v>202.8483206931378</v>
      </c>
      <c r="L55" s="165" t="s">
        <v>161</v>
      </c>
      <c r="M55" s="164">
        <f>M51+M52+M53+K50+M54</f>
        <v>209.13440666289782</v>
      </c>
      <c r="N55" s="166" t="s">
        <v>70</v>
      </c>
      <c r="O55" s="30"/>
      <c r="P55" s="226"/>
    </row>
    <row r="56" spans="1:16" ht="12.75" thickTop="1">
      <c r="A56" s="225"/>
      <c r="B56" s="2"/>
      <c r="C56" s="87" t="s">
        <v>174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226"/>
    </row>
    <row r="57" spans="1:16" ht="12">
      <c r="A57" s="225"/>
      <c r="B57" s="2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226"/>
    </row>
    <row r="58" spans="1:16" ht="12">
      <c r="A58" s="225"/>
      <c r="B58" s="2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226"/>
    </row>
    <row r="59" spans="1:16" ht="12.75" thickBot="1">
      <c r="A59" s="227"/>
      <c r="B59" s="232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228"/>
    </row>
    <row r="60" spans="2:16" ht="12">
      <c r="B60" s="225"/>
      <c r="C60" s="2"/>
      <c r="D60" s="2"/>
      <c r="E60" s="2"/>
      <c r="F60" s="2"/>
      <c r="G60" s="2"/>
      <c r="H60" s="2"/>
      <c r="I60" s="226"/>
      <c r="J60" s="225"/>
      <c r="K60" s="2"/>
      <c r="L60" s="2"/>
      <c r="M60" s="2"/>
      <c r="N60" s="2"/>
      <c r="O60" s="2"/>
      <c r="P60" s="226"/>
    </row>
    <row r="61" spans="2:16" ht="12">
      <c r="B61" s="225"/>
      <c r="C61" s="2"/>
      <c r="D61" s="2"/>
      <c r="E61" s="2"/>
      <c r="F61" s="2"/>
      <c r="G61" s="2"/>
      <c r="H61" s="2"/>
      <c r="I61" s="226"/>
      <c r="J61" s="225"/>
      <c r="K61" s="2"/>
      <c r="L61" s="2"/>
      <c r="M61" s="2"/>
      <c r="N61" s="2"/>
      <c r="O61" s="2"/>
      <c r="P61" s="226"/>
    </row>
    <row r="62" spans="2:16" ht="12">
      <c r="B62" s="225"/>
      <c r="C62" s="2"/>
      <c r="D62" s="2"/>
      <c r="E62" s="2"/>
      <c r="F62" s="2"/>
      <c r="G62" s="2"/>
      <c r="H62" s="2"/>
      <c r="I62" s="226"/>
      <c r="J62" s="225"/>
      <c r="K62" s="2"/>
      <c r="L62" s="2"/>
      <c r="M62" s="2"/>
      <c r="N62" s="2"/>
      <c r="O62" s="2"/>
      <c r="P62" s="226"/>
    </row>
    <row r="63" spans="2:16" ht="12">
      <c r="B63" s="225"/>
      <c r="C63" s="2"/>
      <c r="D63" s="2"/>
      <c r="E63" s="2"/>
      <c r="F63" s="2"/>
      <c r="G63" s="2"/>
      <c r="H63" s="2"/>
      <c r="I63" s="226"/>
      <c r="J63" s="225"/>
      <c r="K63" s="2"/>
      <c r="L63" s="2"/>
      <c r="M63" s="2"/>
      <c r="N63" s="2"/>
      <c r="O63" s="2"/>
      <c r="P63" s="226"/>
    </row>
    <row r="64" spans="2:16" ht="12">
      <c r="B64" s="225"/>
      <c r="C64" s="2"/>
      <c r="D64" s="2"/>
      <c r="E64" s="2"/>
      <c r="F64" s="2"/>
      <c r="G64" s="2"/>
      <c r="H64" s="2"/>
      <c r="I64" s="226"/>
      <c r="J64" s="225"/>
      <c r="K64" s="2"/>
      <c r="L64" s="2"/>
      <c r="M64" s="2"/>
      <c r="N64" s="2"/>
      <c r="O64" s="2"/>
      <c r="P64" s="226"/>
    </row>
    <row r="65" spans="2:16" ht="12">
      <c r="B65" s="225"/>
      <c r="C65" s="2"/>
      <c r="D65" s="2"/>
      <c r="E65" s="2"/>
      <c r="F65" s="2"/>
      <c r="G65" s="2"/>
      <c r="H65" s="2"/>
      <c r="I65" s="226"/>
      <c r="J65" s="225"/>
      <c r="K65" s="2"/>
      <c r="L65" s="2"/>
      <c r="M65" s="2"/>
      <c r="N65" s="2"/>
      <c r="O65" s="2"/>
      <c r="P65" s="226"/>
    </row>
    <row r="66" spans="2:16" ht="12">
      <c r="B66" s="225"/>
      <c r="C66" s="2"/>
      <c r="D66" s="2"/>
      <c r="E66" s="2"/>
      <c r="F66" s="2"/>
      <c r="G66" s="2"/>
      <c r="H66" s="2"/>
      <c r="I66" s="226"/>
      <c r="J66" s="225"/>
      <c r="K66" s="2"/>
      <c r="L66" s="2"/>
      <c r="M66" s="2"/>
      <c r="N66" s="2"/>
      <c r="O66" s="2"/>
      <c r="P66" s="226"/>
    </row>
    <row r="67" spans="2:16" ht="12">
      <c r="B67" s="225"/>
      <c r="C67" s="2"/>
      <c r="D67" s="2"/>
      <c r="E67" s="2"/>
      <c r="F67" s="2"/>
      <c r="G67" s="2"/>
      <c r="H67" s="2"/>
      <c r="I67" s="226"/>
      <c r="J67" s="225"/>
      <c r="K67" s="2"/>
      <c r="L67" s="2"/>
      <c r="M67" s="2"/>
      <c r="N67" s="2"/>
      <c r="O67" s="2"/>
      <c r="P67" s="226"/>
    </row>
    <row r="68" spans="2:16" ht="12">
      <c r="B68" s="225"/>
      <c r="C68" s="2"/>
      <c r="D68" s="2"/>
      <c r="E68" s="2"/>
      <c r="F68" s="2"/>
      <c r="G68" s="2"/>
      <c r="H68" s="2"/>
      <c r="I68" s="226"/>
      <c r="J68" s="225"/>
      <c r="K68" s="2"/>
      <c r="L68" s="2"/>
      <c r="M68" s="2"/>
      <c r="N68" s="2"/>
      <c r="O68" s="2"/>
      <c r="P68" s="226"/>
    </row>
    <row r="69" spans="2:16" ht="12">
      <c r="B69" s="225"/>
      <c r="C69" s="2"/>
      <c r="D69" s="2"/>
      <c r="E69" s="2"/>
      <c r="F69" s="2"/>
      <c r="G69" s="2"/>
      <c r="H69" s="2"/>
      <c r="I69" s="226"/>
      <c r="J69" s="225"/>
      <c r="K69" s="2"/>
      <c r="L69" s="2"/>
      <c r="M69" s="2"/>
      <c r="N69" s="2"/>
      <c r="O69" s="2"/>
      <c r="P69" s="226"/>
    </row>
    <row r="70" spans="2:16" ht="12">
      <c r="B70" s="225"/>
      <c r="C70" s="2"/>
      <c r="D70" s="2"/>
      <c r="E70" s="2"/>
      <c r="F70" s="2"/>
      <c r="G70" s="2"/>
      <c r="H70" s="2"/>
      <c r="I70" s="226"/>
      <c r="J70" s="225"/>
      <c r="K70" s="2"/>
      <c r="L70" s="2"/>
      <c r="M70" s="2"/>
      <c r="N70" s="2"/>
      <c r="O70" s="2"/>
      <c r="P70" s="226"/>
    </row>
    <row r="71" spans="2:16" ht="12">
      <c r="B71" s="225"/>
      <c r="C71" s="2"/>
      <c r="D71" s="2"/>
      <c r="E71" s="2"/>
      <c r="F71" s="2"/>
      <c r="G71" s="2"/>
      <c r="H71" s="2"/>
      <c r="I71" s="226"/>
      <c r="J71" s="225"/>
      <c r="K71" s="2"/>
      <c r="L71" s="2"/>
      <c r="M71" s="2"/>
      <c r="N71" s="2"/>
      <c r="O71" s="2"/>
      <c r="P71" s="226"/>
    </row>
    <row r="72" spans="2:16" ht="12">
      <c r="B72" s="225"/>
      <c r="C72" s="2"/>
      <c r="D72" s="2"/>
      <c r="E72" s="2"/>
      <c r="F72" s="2"/>
      <c r="G72" s="2"/>
      <c r="H72" s="2"/>
      <c r="I72" s="226"/>
      <c r="J72" s="225"/>
      <c r="K72" s="2"/>
      <c r="L72" s="2"/>
      <c r="M72" s="2"/>
      <c r="N72" s="2"/>
      <c r="O72" s="2"/>
      <c r="P72" s="226"/>
    </row>
    <row r="73" spans="2:16" ht="12">
      <c r="B73" s="225"/>
      <c r="C73" s="2"/>
      <c r="D73" s="2"/>
      <c r="E73" s="2"/>
      <c r="F73" s="2"/>
      <c r="G73" s="2"/>
      <c r="H73" s="2"/>
      <c r="I73" s="226"/>
      <c r="J73" s="225"/>
      <c r="K73" s="2"/>
      <c r="L73" s="2"/>
      <c r="M73" s="2"/>
      <c r="N73" s="2"/>
      <c r="O73" s="2"/>
      <c r="P73" s="335"/>
    </row>
    <row r="74" spans="2:16" ht="12.75" thickBot="1">
      <c r="B74" s="225"/>
      <c r="C74" s="2"/>
      <c r="D74" s="2"/>
      <c r="E74" s="25" t="s">
        <v>204</v>
      </c>
      <c r="F74" s="2"/>
      <c r="G74" s="2"/>
      <c r="H74" s="2"/>
      <c r="I74" s="226"/>
      <c r="J74" s="225"/>
      <c r="K74" s="2"/>
      <c r="L74" s="25" t="s">
        <v>205</v>
      </c>
      <c r="M74" s="2"/>
      <c r="N74" s="2"/>
      <c r="O74" s="2"/>
      <c r="P74" s="226"/>
    </row>
    <row r="75" spans="2:16" ht="12.75">
      <c r="B75" s="225"/>
      <c r="C75" s="214" t="s">
        <v>12</v>
      </c>
      <c r="D75" s="56"/>
      <c r="E75" s="56"/>
      <c r="F75" s="215"/>
      <c r="G75" s="314" t="s">
        <v>13</v>
      </c>
      <c r="H75" s="48" t="s">
        <v>14</v>
      </c>
      <c r="I75" s="226"/>
      <c r="J75" s="214" t="s">
        <v>12</v>
      </c>
      <c r="K75" s="56"/>
      <c r="L75" s="56"/>
      <c r="M75" s="215"/>
      <c r="N75" s="314" t="s">
        <v>13</v>
      </c>
      <c r="O75" s="48" t="s">
        <v>14</v>
      </c>
      <c r="P75" s="229"/>
    </row>
    <row r="76" spans="2:16" ht="13.5" thickBot="1">
      <c r="B76" s="225"/>
      <c r="C76" s="216" t="s">
        <v>24</v>
      </c>
      <c r="D76" s="26"/>
      <c r="E76" s="26"/>
      <c r="F76" s="27"/>
      <c r="G76" s="315"/>
      <c r="H76" s="49" t="s">
        <v>25</v>
      </c>
      <c r="I76" s="226"/>
      <c r="J76" s="216" t="s">
        <v>24</v>
      </c>
      <c r="K76" s="26"/>
      <c r="L76" s="26"/>
      <c r="M76" s="27"/>
      <c r="N76" s="315"/>
      <c r="O76" s="49" t="s">
        <v>25</v>
      </c>
      <c r="P76" s="229"/>
    </row>
    <row r="77" spans="2:16" ht="13.5" thickBot="1">
      <c r="B77" s="225"/>
      <c r="C77" s="333" t="s">
        <v>34</v>
      </c>
      <c r="D77" s="322"/>
      <c r="E77" s="322"/>
      <c r="F77" s="52" t="s">
        <v>35</v>
      </c>
      <c r="G77" s="78" t="s">
        <v>194</v>
      </c>
      <c r="H77" s="217">
        <v>8</v>
      </c>
      <c r="I77" s="226"/>
      <c r="J77" s="333" t="s">
        <v>34</v>
      </c>
      <c r="K77" s="322"/>
      <c r="L77" s="322"/>
      <c r="M77" s="52" t="s">
        <v>35</v>
      </c>
      <c r="N77" s="78" t="s">
        <v>194</v>
      </c>
      <c r="O77" s="217">
        <v>8</v>
      </c>
      <c r="P77" s="229"/>
    </row>
    <row r="78" spans="2:16" ht="13.5" thickBot="1">
      <c r="B78" s="225"/>
      <c r="C78" s="333" t="s">
        <v>39</v>
      </c>
      <c r="D78" s="322"/>
      <c r="E78" s="322"/>
      <c r="F78" s="52" t="s">
        <v>40</v>
      </c>
      <c r="G78" s="209" t="s">
        <v>194</v>
      </c>
      <c r="H78" s="218">
        <v>8</v>
      </c>
      <c r="I78" s="226"/>
      <c r="J78" s="333" t="s">
        <v>39</v>
      </c>
      <c r="K78" s="322"/>
      <c r="L78" s="322"/>
      <c r="M78" s="52" t="s">
        <v>40</v>
      </c>
      <c r="N78" s="209" t="s">
        <v>194</v>
      </c>
      <c r="O78" s="218">
        <v>16</v>
      </c>
      <c r="P78" s="229"/>
    </row>
    <row r="79" spans="2:16" ht="12.75">
      <c r="B79" s="225"/>
      <c r="C79" s="333" t="s">
        <v>43</v>
      </c>
      <c r="D79" s="322"/>
      <c r="E79" s="322"/>
      <c r="F79" s="52" t="s">
        <v>44</v>
      </c>
      <c r="G79" s="78" t="s">
        <v>194</v>
      </c>
      <c r="H79" s="219">
        <f>N86</f>
        <v>0</v>
      </c>
      <c r="I79" s="226"/>
      <c r="J79" s="333" t="s">
        <v>43</v>
      </c>
      <c r="K79" s="322"/>
      <c r="L79" s="322"/>
      <c r="M79" s="52" t="s">
        <v>44</v>
      </c>
      <c r="N79" s="78" t="s">
        <v>194</v>
      </c>
      <c r="O79" s="219">
        <f>U86</f>
        <v>0</v>
      </c>
      <c r="P79" s="229"/>
    </row>
    <row r="80" spans="2:16" ht="13.5" thickBot="1">
      <c r="B80" s="227"/>
      <c r="C80" s="334" t="s">
        <v>48</v>
      </c>
      <c r="D80" s="324"/>
      <c r="E80" s="324"/>
      <c r="F80" s="220" t="s">
        <v>49</v>
      </c>
      <c r="G80" s="79" t="s">
        <v>194</v>
      </c>
      <c r="H80" s="221">
        <v>2</v>
      </c>
      <c r="I80" s="228"/>
      <c r="J80" s="334" t="s">
        <v>48</v>
      </c>
      <c r="K80" s="324"/>
      <c r="L80" s="324"/>
      <c r="M80" s="220" t="s">
        <v>49</v>
      </c>
      <c r="N80" s="79" t="s">
        <v>194</v>
      </c>
      <c r="O80" s="221">
        <v>8</v>
      </c>
      <c r="P80" s="230"/>
    </row>
    <row r="81" spans="2:16" ht="12">
      <c r="B81" s="222"/>
      <c r="C81" s="223"/>
      <c r="D81" s="223"/>
      <c r="E81" s="223"/>
      <c r="F81" s="223"/>
      <c r="G81" s="223"/>
      <c r="H81" s="223"/>
      <c r="I81" s="224"/>
      <c r="J81" s="222"/>
      <c r="K81" s="223"/>
      <c r="L81" s="223"/>
      <c r="M81" s="223"/>
      <c r="N81" s="223"/>
      <c r="O81" s="223"/>
      <c r="P81" s="224"/>
    </row>
    <row r="82" spans="2:16" ht="12">
      <c r="B82" s="225"/>
      <c r="C82" s="2"/>
      <c r="D82" s="2"/>
      <c r="E82" s="2"/>
      <c r="F82" s="2"/>
      <c r="G82" s="2"/>
      <c r="H82" s="2"/>
      <c r="I82" s="226"/>
      <c r="J82" s="225"/>
      <c r="K82" s="2"/>
      <c r="L82" s="2"/>
      <c r="M82" s="2"/>
      <c r="N82" s="2"/>
      <c r="O82" s="2"/>
      <c r="P82" s="226"/>
    </row>
    <row r="83" spans="2:16" ht="12">
      <c r="B83" s="225"/>
      <c r="C83" s="2"/>
      <c r="D83" s="2"/>
      <c r="E83" s="2"/>
      <c r="F83" s="2"/>
      <c r="G83" s="2"/>
      <c r="H83" s="2"/>
      <c r="I83" s="226"/>
      <c r="J83" s="225"/>
      <c r="K83" s="2"/>
      <c r="L83" s="2"/>
      <c r="M83" s="2"/>
      <c r="N83" s="2"/>
      <c r="O83" s="2"/>
      <c r="P83" s="226"/>
    </row>
    <row r="84" spans="2:16" ht="12">
      <c r="B84" s="225"/>
      <c r="C84" s="2"/>
      <c r="D84" s="2"/>
      <c r="E84" s="2"/>
      <c r="F84" s="2"/>
      <c r="G84" s="2"/>
      <c r="H84" s="2"/>
      <c r="I84" s="226"/>
      <c r="J84" s="225"/>
      <c r="K84" s="2"/>
      <c r="L84" s="2"/>
      <c r="M84" s="2"/>
      <c r="N84" s="2"/>
      <c r="O84" s="2"/>
      <c r="P84" s="226"/>
    </row>
    <row r="85" spans="2:16" ht="12">
      <c r="B85" s="225"/>
      <c r="C85" s="2"/>
      <c r="D85" s="2"/>
      <c r="E85" s="2"/>
      <c r="F85" s="2"/>
      <c r="G85" s="2"/>
      <c r="H85" s="2"/>
      <c r="I85" s="226"/>
      <c r="J85" s="225"/>
      <c r="K85" s="2"/>
      <c r="L85" s="2"/>
      <c r="M85" s="2"/>
      <c r="N85" s="2"/>
      <c r="O85" s="2"/>
      <c r="P85" s="226"/>
    </row>
    <row r="86" spans="2:16" ht="12">
      <c r="B86" s="225"/>
      <c r="C86" s="2"/>
      <c r="D86" s="2"/>
      <c r="E86" s="2"/>
      <c r="F86" s="2"/>
      <c r="G86" s="2"/>
      <c r="H86" s="2"/>
      <c r="I86" s="226"/>
      <c r="J86" s="225"/>
      <c r="K86" s="2"/>
      <c r="L86" s="2"/>
      <c r="M86" s="2"/>
      <c r="N86" s="2"/>
      <c r="O86" s="2"/>
      <c r="P86" s="226"/>
    </row>
    <row r="87" spans="2:16" ht="12">
      <c r="B87" s="225"/>
      <c r="C87" s="2"/>
      <c r="D87" s="2"/>
      <c r="E87" s="2"/>
      <c r="F87" s="2"/>
      <c r="G87" s="2"/>
      <c r="H87" s="2"/>
      <c r="I87" s="226"/>
      <c r="J87" s="225"/>
      <c r="K87" s="2"/>
      <c r="L87" s="2"/>
      <c r="M87" s="2"/>
      <c r="N87" s="2"/>
      <c r="O87" s="2"/>
      <c r="P87" s="226"/>
    </row>
    <row r="88" spans="2:16" ht="12">
      <c r="B88" s="225"/>
      <c r="C88" s="2"/>
      <c r="D88" s="2"/>
      <c r="E88" s="2"/>
      <c r="F88" s="2"/>
      <c r="G88" s="2"/>
      <c r="H88" s="2"/>
      <c r="I88" s="226"/>
      <c r="J88" s="225"/>
      <c r="K88" s="2"/>
      <c r="L88" s="2"/>
      <c r="M88" s="2"/>
      <c r="N88" s="2"/>
      <c r="O88" s="2"/>
      <c r="P88" s="226"/>
    </row>
    <row r="89" spans="2:16" ht="12">
      <c r="B89" s="225"/>
      <c r="C89" s="2"/>
      <c r="D89" s="2"/>
      <c r="E89" s="2"/>
      <c r="F89" s="2"/>
      <c r="G89" s="2"/>
      <c r="H89" s="2"/>
      <c r="I89" s="226"/>
      <c r="J89" s="225"/>
      <c r="K89" s="2"/>
      <c r="L89" s="2"/>
      <c r="M89" s="2"/>
      <c r="N89" s="2"/>
      <c r="O89" s="2"/>
      <c r="P89" s="226"/>
    </row>
    <row r="90" spans="2:16" ht="12">
      <c r="B90" s="225"/>
      <c r="C90" s="2"/>
      <c r="D90" s="2"/>
      <c r="E90" s="2"/>
      <c r="F90" s="2"/>
      <c r="G90" s="2"/>
      <c r="H90" s="2"/>
      <c r="I90" s="226"/>
      <c r="J90" s="225"/>
      <c r="K90" s="2"/>
      <c r="L90" s="2"/>
      <c r="M90" s="2"/>
      <c r="N90" s="2"/>
      <c r="O90" s="2"/>
      <c r="P90" s="226"/>
    </row>
    <row r="91" spans="2:16" ht="12">
      <c r="B91" s="225"/>
      <c r="C91" s="2"/>
      <c r="D91" s="2"/>
      <c r="E91" s="2"/>
      <c r="F91" s="2"/>
      <c r="G91" s="2"/>
      <c r="H91" s="2"/>
      <c r="I91" s="226"/>
      <c r="J91" s="225"/>
      <c r="K91" s="2"/>
      <c r="L91" s="2"/>
      <c r="M91" s="2"/>
      <c r="N91" s="2"/>
      <c r="O91" s="2"/>
      <c r="P91" s="226"/>
    </row>
    <row r="92" spans="2:16" ht="12">
      <c r="B92" s="225"/>
      <c r="C92" s="2"/>
      <c r="D92" s="2"/>
      <c r="E92" s="2"/>
      <c r="F92" s="2"/>
      <c r="G92" s="2"/>
      <c r="H92" s="2"/>
      <c r="I92" s="226"/>
      <c r="J92" s="225"/>
      <c r="K92" s="2"/>
      <c r="L92" s="2"/>
      <c r="M92" s="2"/>
      <c r="N92" s="2"/>
      <c r="O92" s="2"/>
      <c r="P92" s="226"/>
    </row>
    <row r="93" spans="2:16" ht="12">
      <c r="B93" s="225"/>
      <c r="C93" s="2"/>
      <c r="D93" s="2"/>
      <c r="E93" s="2"/>
      <c r="F93" s="2"/>
      <c r="G93" s="2"/>
      <c r="H93" s="2"/>
      <c r="I93" s="226"/>
      <c r="J93" s="225"/>
      <c r="K93" s="2"/>
      <c r="L93" s="2"/>
      <c r="M93" s="2"/>
      <c r="N93" s="2"/>
      <c r="O93" s="2"/>
      <c r="P93" s="226"/>
    </row>
    <row r="94" spans="2:16" ht="12">
      <c r="B94" s="225"/>
      <c r="C94" s="2"/>
      <c r="D94" s="2"/>
      <c r="E94" s="2"/>
      <c r="F94" s="2"/>
      <c r="G94" s="2"/>
      <c r="H94" s="2"/>
      <c r="I94" s="226"/>
      <c r="J94" s="225"/>
      <c r="K94" s="2"/>
      <c r="L94" s="2"/>
      <c r="M94" s="2"/>
      <c r="N94" s="2"/>
      <c r="O94" s="2"/>
      <c r="P94" s="226"/>
    </row>
    <row r="95" spans="2:16" ht="12">
      <c r="B95" s="225"/>
      <c r="C95" s="2"/>
      <c r="D95" s="2"/>
      <c r="E95" s="2"/>
      <c r="F95" s="2"/>
      <c r="G95" s="2"/>
      <c r="H95" s="2"/>
      <c r="I95" s="226"/>
      <c r="J95" s="225"/>
      <c r="K95" s="2"/>
      <c r="L95" s="2"/>
      <c r="M95" s="2"/>
      <c r="N95" s="2"/>
      <c r="O95" s="2"/>
      <c r="P95" s="226"/>
    </row>
    <row r="96" spans="2:16" ht="12.75" thickBot="1">
      <c r="B96" s="225"/>
      <c r="C96" s="2"/>
      <c r="D96" s="2"/>
      <c r="E96" s="25" t="s">
        <v>207</v>
      </c>
      <c r="F96" s="2"/>
      <c r="G96" s="2"/>
      <c r="H96" s="2"/>
      <c r="I96" s="226"/>
      <c r="J96" s="225"/>
      <c r="K96" s="25" t="s">
        <v>208</v>
      </c>
      <c r="L96" s="2"/>
      <c r="M96" s="2"/>
      <c r="N96" s="2"/>
      <c r="O96" s="2"/>
      <c r="P96" s="226"/>
    </row>
    <row r="97" spans="2:16" ht="12">
      <c r="B97" s="225"/>
      <c r="C97" s="214" t="s">
        <v>12</v>
      </c>
      <c r="D97" s="56"/>
      <c r="E97" s="56"/>
      <c r="F97" s="215"/>
      <c r="G97" s="314" t="s">
        <v>13</v>
      </c>
      <c r="H97" s="48" t="s">
        <v>14</v>
      </c>
      <c r="I97" s="226"/>
      <c r="J97" s="214" t="s">
        <v>12</v>
      </c>
      <c r="K97" s="56"/>
      <c r="L97" s="56"/>
      <c r="M97" s="215"/>
      <c r="N97" s="314" t="s">
        <v>13</v>
      </c>
      <c r="O97" s="48" t="s">
        <v>14</v>
      </c>
      <c r="P97" s="226"/>
    </row>
    <row r="98" spans="2:16" ht="12.75" thickBot="1">
      <c r="B98" s="225"/>
      <c r="C98" s="216" t="s">
        <v>24</v>
      </c>
      <c r="D98" s="26"/>
      <c r="E98" s="26"/>
      <c r="F98" s="27"/>
      <c r="G98" s="315"/>
      <c r="H98" s="49" t="s">
        <v>25</v>
      </c>
      <c r="I98" s="226"/>
      <c r="J98" s="216" t="s">
        <v>24</v>
      </c>
      <c r="K98" s="26"/>
      <c r="L98" s="26"/>
      <c r="M98" s="27"/>
      <c r="N98" s="315"/>
      <c r="O98" s="49" t="s">
        <v>25</v>
      </c>
      <c r="P98" s="226"/>
    </row>
    <row r="99" spans="2:16" ht="12.75" thickBot="1">
      <c r="B99" s="225"/>
      <c r="C99" s="333" t="s">
        <v>34</v>
      </c>
      <c r="D99" s="322"/>
      <c r="E99" s="322"/>
      <c r="F99" s="52" t="s">
        <v>35</v>
      </c>
      <c r="G99" s="78" t="s">
        <v>206</v>
      </c>
      <c r="H99" s="217">
        <v>30</v>
      </c>
      <c r="I99" s="226"/>
      <c r="J99" s="333" t="s">
        <v>34</v>
      </c>
      <c r="K99" s="322"/>
      <c r="L99" s="322"/>
      <c r="M99" s="52" t="s">
        <v>35</v>
      </c>
      <c r="N99" s="78" t="s">
        <v>194</v>
      </c>
      <c r="O99" s="217">
        <v>8</v>
      </c>
      <c r="P99" s="226"/>
    </row>
    <row r="100" spans="2:16" ht="12.75" thickBot="1">
      <c r="B100" s="225"/>
      <c r="C100" s="333" t="s">
        <v>39</v>
      </c>
      <c r="D100" s="322"/>
      <c r="E100" s="322"/>
      <c r="F100" s="52" t="s">
        <v>40</v>
      </c>
      <c r="G100" s="209" t="s">
        <v>206</v>
      </c>
      <c r="H100" s="218">
        <v>2</v>
      </c>
      <c r="I100" s="226"/>
      <c r="J100" s="333" t="s">
        <v>39</v>
      </c>
      <c r="K100" s="322"/>
      <c r="L100" s="322"/>
      <c r="M100" s="52" t="s">
        <v>40</v>
      </c>
      <c r="N100" s="209" t="s">
        <v>206</v>
      </c>
      <c r="O100" s="218">
        <v>2</v>
      </c>
      <c r="P100" s="226"/>
    </row>
    <row r="101" spans="2:16" ht="12">
      <c r="B101" s="225"/>
      <c r="C101" s="333" t="s">
        <v>43</v>
      </c>
      <c r="D101" s="322"/>
      <c r="E101" s="322"/>
      <c r="F101" s="52" t="s">
        <v>44</v>
      </c>
      <c r="G101" s="78" t="s">
        <v>206</v>
      </c>
      <c r="H101" s="219">
        <f>N107</f>
        <v>0</v>
      </c>
      <c r="I101" s="226"/>
      <c r="J101" s="333" t="s">
        <v>43</v>
      </c>
      <c r="K101" s="322"/>
      <c r="L101" s="322"/>
      <c r="M101" s="52" t="s">
        <v>44</v>
      </c>
      <c r="N101" s="78" t="s">
        <v>206</v>
      </c>
      <c r="O101" s="219">
        <f>U107</f>
        <v>0</v>
      </c>
      <c r="P101" s="226"/>
    </row>
    <row r="102" spans="2:16" ht="12.75" thickBot="1">
      <c r="B102" s="227"/>
      <c r="C102" s="334" t="s">
        <v>48</v>
      </c>
      <c r="D102" s="324"/>
      <c r="E102" s="324"/>
      <c r="F102" s="220" t="s">
        <v>49</v>
      </c>
      <c r="G102" s="79" t="s">
        <v>206</v>
      </c>
      <c r="H102" s="221">
        <v>0.05</v>
      </c>
      <c r="I102" s="228"/>
      <c r="J102" s="334" t="s">
        <v>48</v>
      </c>
      <c r="K102" s="324"/>
      <c r="L102" s="324"/>
      <c r="M102" s="220" t="s">
        <v>49</v>
      </c>
      <c r="N102" s="79" t="s">
        <v>206</v>
      </c>
      <c r="O102" s="221">
        <v>0.05</v>
      </c>
      <c r="P102" s="228"/>
    </row>
    <row r="103" spans="2:16" ht="12">
      <c r="B103" s="22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4"/>
    </row>
    <row r="104" spans="2:16" ht="12">
      <c r="B104" s="22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26"/>
    </row>
    <row r="105" spans="2:16" ht="12">
      <c r="B105" s="22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26"/>
    </row>
    <row r="106" spans="2:16" ht="12">
      <c r="B106" s="22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26"/>
    </row>
    <row r="107" spans="2:16" ht="12">
      <c r="B107" s="22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26"/>
    </row>
    <row r="108" spans="2:16" ht="12">
      <c r="B108" s="22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26"/>
    </row>
    <row r="109" spans="2:16" ht="12">
      <c r="B109" s="22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26"/>
    </row>
    <row r="110" spans="2:16" ht="12">
      <c r="B110" s="22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26"/>
    </row>
    <row r="111" spans="2:16" ht="12">
      <c r="B111" s="22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26"/>
    </row>
    <row r="112" spans="2:16" ht="12">
      <c r="B112" s="22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26"/>
    </row>
    <row r="113" spans="2:16" ht="12">
      <c r="B113" s="22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26"/>
    </row>
    <row r="114" spans="2:16" ht="12">
      <c r="B114" s="22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26"/>
    </row>
    <row r="115" spans="2:16" ht="12">
      <c r="B115" s="22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26"/>
    </row>
    <row r="116" spans="2:16" ht="12">
      <c r="B116" s="22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26"/>
    </row>
    <row r="117" spans="2:16" ht="12">
      <c r="B117" s="22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26"/>
    </row>
    <row r="118" spans="2:16" ht="12.75" thickBot="1">
      <c r="B118" s="22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26"/>
    </row>
    <row r="119" spans="2:16" ht="12.75">
      <c r="B119" s="225"/>
      <c r="C119"/>
      <c r="D119"/>
      <c r="E119"/>
      <c r="F119"/>
      <c r="G119"/>
      <c r="H119" s="214" t="s">
        <v>12</v>
      </c>
      <c r="I119" s="56"/>
      <c r="J119" s="56"/>
      <c r="K119" s="215"/>
      <c r="L119" s="314" t="s">
        <v>13</v>
      </c>
      <c r="M119" s="48" t="s">
        <v>14</v>
      </c>
      <c r="N119" s="2"/>
      <c r="O119" s="2"/>
      <c r="P119" s="226"/>
    </row>
    <row r="120" spans="2:16" ht="13.5" thickBot="1">
      <c r="B120" s="225"/>
      <c r="C120"/>
      <c r="D120"/>
      <c r="E120"/>
      <c r="F120"/>
      <c r="G120"/>
      <c r="H120" s="216" t="s">
        <v>24</v>
      </c>
      <c r="I120" s="26"/>
      <c r="J120" s="26"/>
      <c r="K120" s="27"/>
      <c r="L120" s="315"/>
      <c r="M120" s="49" t="s">
        <v>25</v>
      </c>
      <c r="N120" s="2"/>
      <c r="O120" s="2"/>
      <c r="P120" s="226"/>
    </row>
    <row r="121" spans="2:16" ht="13.5" thickBot="1">
      <c r="B121" s="225"/>
      <c r="C121"/>
      <c r="D121"/>
      <c r="E121"/>
      <c r="F121"/>
      <c r="G121"/>
      <c r="H121" s="333" t="s">
        <v>34</v>
      </c>
      <c r="I121" s="322"/>
      <c r="J121" s="322"/>
      <c r="K121" s="52" t="s">
        <v>35</v>
      </c>
      <c r="L121" s="78" t="s">
        <v>194</v>
      </c>
      <c r="M121" s="217">
        <v>16</v>
      </c>
      <c r="N121" s="2"/>
      <c r="O121" s="2"/>
      <c r="P121" s="226"/>
    </row>
    <row r="122" spans="2:16" ht="13.5" thickBot="1">
      <c r="B122" s="225"/>
      <c r="C122"/>
      <c r="D122"/>
      <c r="E122"/>
      <c r="F122"/>
      <c r="G122"/>
      <c r="H122" s="333" t="s">
        <v>39</v>
      </c>
      <c r="I122" s="322"/>
      <c r="J122" s="322"/>
      <c r="K122" s="52" t="s">
        <v>40</v>
      </c>
      <c r="L122" s="209" t="s">
        <v>194</v>
      </c>
      <c r="M122" s="218">
        <v>16</v>
      </c>
      <c r="N122" s="2"/>
      <c r="O122" s="2"/>
      <c r="P122" s="226"/>
    </row>
    <row r="123" spans="2:16" ht="12.75">
      <c r="B123" s="225"/>
      <c r="C123"/>
      <c r="D123"/>
      <c r="E123"/>
      <c r="F123"/>
      <c r="G123"/>
      <c r="H123" s="333" t="s">
        <v>43</v>
      </c>
      <c r="I123" s="322"/>
      <c r="J123" s="322"/>
      <c r="K123" s="52" t="s">
        <v>44</v>
      </c>
      <c r="L123" s="78" t="s">
        <v>206</v>
      </c>
      <c r="M123" s="219">
        <f>S130</f>
        <v>0</v>
      </c>
      <c r="N123" s="2"/>
      <c r="O123" s="2"/>
      <c r="P123" s="226"/>
    </row>
    <row r="124" spans="2:16" ht="13.5" thickBot="1">
      <c r="B124" s="227"/>
      <c r="C124" s="233"/>
      <c r="D124" s="233"/>
      <c r="E124" s="233"/>
      <c r="F124" s="233"/>
      <c r="G124" s="233"/>
      <c r="H124" s="334" t="s">
        <v>48</v>
      </c>
      <c r="I124" s="324"/>
      <c r="J124" s="324"/>
      <c r="K124" s="220" t="s">
        <v>49</v>
      </c>
      <c r="L124" s="79" t="s">
        <v>206</v>
      </c>
      <c r="M124" s="221">
        <v>0.05</v>
      </c>
      <c r="N124" s="232"/>
      <c r="O124" s="232"/>
      <c r="P124" s="228"/>
    </row>
  </sheetData>
  <sheetProtection password="CAE9" sheet="1" formatColumns="0" formatRows="0" insertHyperlinks="0" selectLockedCells="1" sort="0" autoFilter="0"/>
  <mergeCells count="58">
    <mergeCell ref="L119:L120"/>
    <mergeCell ref="H124:J124"/>
    <mergeCell ref="H123:J123"/>
    <mergeCell ref="H122:J122"/>
    <mergeCell ref="H121:J121"/>
    <mergeCell ref="C101:E101"/>
    <mergeCell ref="C102:E102"/>
    <mergeCell ref="N97:N98"/>
    <mergeCell ref="J99:L99"/>
    <mergeCell ref="J100:L100"/>
    <mergeCell ref="J101:L101"/>
    <mergeCell ref="J102:L102"/>
    <mergeCell ref="J80:L80"/>
    <mergeCell ref="G97:G98"/>
    <mergeCell ref="C99:E99"/>
    <mergeCell ref="C100:E100"/>
    <mergeCell ref="C80:E80"/>
    <mergeCell ref="N75:N76"/>
    <mergeCell ref="J77:L77"/>
    <mergeCell ref="J78:L78"/>
    <mergeCell ref="J79:L79"/>
    <mergeCell ref="G75:G76"/>
    <mergeCell ref="C77:E77"/>
    <mergeCell ref="C78:E78"/>
    <mergeCell ref="C79:E79"/>
    <mergeCell ref="N5:O5"/>
    <mergeCell ref="N3:O3"/>
    <mergeCell ref="N6:O6"/>
    <mergeCell ref="L3:M3"/>
    <mergeCell ref="L4:M4"/>
    <mergeCell ref="L5:M5"/>
    <mergeCell ref="L6:M6"/>
    <mergeCell ref="C12:E12"/>
    <mergeCell ref="C13:E13"/>
    <mergeCell ref="C3:E3"/>
    <mergeCell ref="E9:H9"/>
    <mergeCell ref="C25:O25"/>
    <mergeCell ref="C14:E14"/>
    <mergeCell ref="C15:E15"/>
    <mergeCell ref="M16:O16"/>
    <mergeCell ref="C16:G16"/>
    <mergeCell ref="I7:K7"/>
    <mergeCell ref="M7:O7"/>
    <mergeCell ref="F17:G17"/>
    <mergeCell ref="F18:G18"/>
    <mergeCell ref="M10:N10"/>
    <mergeCell ref="G10:G11"/>
    <mergeCell ref="J9:L9"/>
    <mergeCell ref="M40:N40"/>
    <mergeCell ref="E8:H8"/>
    <mergeCell ref="I8:K8"/>
    <mergeCell ref="L8:O8"/>
    <mergeCell ref="C19:I19"/>
    <mergeCell ref="K38:N38"/>
    <mergeCell ref="J19:O19"/>
    <mergeCell ref="K39:N39"/>
    <mergeCell ref="K36:N36"/>
    <mergeCell ref="K37:N37"/>
  </mergeCells>
  <printOptions horizontalCentered="1" verticalCentered="1"/>
  <pageMargins left="0.74" right="0.1968503937007874" top="0.3937007874015748" bottom="0.34" header="0.5118110236220472" footer="0.14"/>
  <pageSetup horizontalDpi="600" verticalDpi="600" orientation="portrait" paperSize="9" r:id="rId8"/>
  <headerFooter alignWithMargins="0">
    <oddFooter>&amp;L&amp;6&amp;F&amp;R&amp;6FVA-20-6-06</oddFooter>
  </headerFooter>
  <rowBreaks count="1" manualBreakCount="1">
    <brk id="59" max="15" man="1"/>
  </rowBreaks>
  <drawing r:id="rId7"/>
  <legacyDrawing r:id="rId6"/>
  <oleObjects>
    <oleObject progId="Visio.Drawing.6" shapeId="134504" r:id="rId1"/>
    <oleObject progId="Visio.Drawing.6" shapeId="147083" r:id="rId2"/>
    <oleObject progId="Visio.Drawing.6" shapeId="175567" r:id="rId3"/>
    <oleObject progId="Visio.Drawing.6" shapeId="205951" r:id="rId4"/>
    <oleObject progId="Visio.Drawing.6" shapeId="2450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F.Velasco</dc:creator>
  <cp:keywords/>
  <dc:description/>
  <cp:lastModifiedBy>Paco Velasco</cp:lastModifiedBy>
  <cp:lastPrinted>2010-11-03T10:21:03Z</cp:lastPrinted>
  <dcterms:created xsi:type="dcterms:W3CDTF">1998-04-03T16:47:03Z</dcterms:created>
  <dcterms:modified xsi:type="dcterms:W3CDTF">2010-11-03T10:26:09Z</dcterms:modified>
  <cp:category/>
  <cp:version/>
  <cp:contentType/>
  <cp:contentStatus/>
</cp:coreProperties>
</file>